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44Y2q9uV+q0R4CYGcNrUgNJFe3mZR3FvA1GqdXFqJcbl5sANq5OB4RMw9fHlPpighSCG3B4ykdL2HdJRnMNhwQ==" workbookSaltValue="C4ZBRligT4CLEgb0FHH3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U20" i="20"/>
  <c r="X20" i="20"/>
  <c r="AH20" i="20"/>
  <c r="AI20" i="20"/>
  <c r="AF20" i="20"/>
  <c r="AX20" i="20"/>
  <c r="AZ20" i="20"/>
  <c r="AG20" i="20"/>
  <c r="AC20" i="20"/>
  <c r="Q20" i="20"/>
  <c r="U10" i="11"/>
  <c r="Z20" i="20"/>
  <c r="AA20" i="20"/>
  <c r="M20" i="20"/>
  <c r="F20" i="20"/>
  <c r="O20" i="20"/>
  <c r="W20" i="21"/>
  <c r="AC19" i="8" l="1"/>
  <c r="AK19" i="8"/>
  <c r="L19" i="8"/>
  <c r="AM19" i="8"/>
  <c r="AA19" i="8"/>
  <c r="AI19" i="8"/>
  <c r="R19" i="8"/>
  <c r="T19" i="8"/>
  <c r="I10" i="3"/>
  <c r="H9" i="7"/>
  <c r="N13" i="2"/>
  <c r="BG9" i="8"/>
  <c r="BE9" i="8"/>
  <c r="BG12" i="8"/>
  <c r="BE12" i="8"/>
  <c r="R8" i="9"/>
  <c r="AY13" i="13"/>
  <c r="F17" i="16"/>
  <c r="BL17" i="16" s="1"/>
  <c r="E12" i="6"/>
  <c r="T17" i="11"/>
  <c r="BJ17" i="11"/>
  <c r="V11" i="16"/>
  <c r="BL12" i="11"/>
  <c r="V17" i="16"/>
  <c r="Q10" i="21"/>
  <c r="BJ12" i="11"/>
  <c r="BK17" i="11"/>
  <c r="BV17" i="16"/>
  <c r="BV11" i="16"/>
  <c r="V12" i="16"/>
  <c r="AZ12" i="11"/>
  <c r="BH10" i="11"/>
  <c r="S10" i="17"/>
  <c r="BF15" i="11"/>
  <c r="BL16" i="11"/>
  <c r="X10" i="21"/>
  <c r="AP16" i="20"/>
  <c r="BH15" i="11"/>
  <c r="BF17" i="11"/>
  <c r="BK11" i="11"/>
  <c r="S9" i="14"/>
  <c r="V9" i="14" s="1"/>
  <c r="AP15" i="20"/>
  <c r="T17" i="16"/>
  <c r="BU10" i="17"/>
  <c r="BW11" i="20"/>
  <c r="BU12" i="17"/>
  <c r="AZ11" i="11"/>
  <c r="BI9" i="11"/>
  <c r="BH10" i="16"/>
  <c r="BH16" i="11"/>
  <c r="L12" i="2"/>
  <c r="X12" i="21"/>
  <c r="BF11" i="11"/>
  <c r="BL9" i="11"/>
  <c r="BG10" i="11"/>
  <c r="P17" i="17"/>
  <c r="BK12" i="11"/>
  <c r="BK9" i="11"/>
  <c r="X9" i="17"/>
  <c r="BM12" i="11"/>
  <c r="V9" i="11"/>
  <c r="R10" i="21"/>
  <c r="R13" i="21" s="1"/>
  <c r="BG9" i="11"/>
  <c r="BH17" i="11"/>
  <c r="AP17" i="20"/>
  <c r="BW9" i="20"/>
  <c r="BV16" i="16"/>
  <c r="BV15" i="16"/>
  <c r="BU9" i="17"/>
  <c r="BU17" i="17"/>
  <c r="BV9" i="16"/>
  <c r="AA15" i="16"/>
  <c r="T16" i="11"/>
  <c r="P15" i="17"/>
  <c r="P18" i="17" s="1"/>
  <c r="P19" i="17" s="1"/>
  <c r="BL15" i="11"/>
  <c r="R11" i="14"/>
  <c r="BK16" i="11"/>
  <c r="BG16" i="11"/>
  <c r="BM9" i="11"/>
  <c r="BK10" i="11"/>
  <c r="L17" i="2"/>
  <c r="V10" i="16"/>
  <c r="V9" i="16"/>
  <c r="S16" i="14"/>
  <c r="V16" i="14" s="1"/>
  <c r="T11" i="11"/>
  <c r="X16" i="17"/>
  <c r="X17" i="17"/>
  <c r="X17" i="20"/>
  <c r="V12" i="21"/>
  <c r="X16" i="20"/>
  <c r="X9" i="16"/>
  <c r="X19" i="16" s="1"/>
  <c r="S10" i="14"/>
  <c r="V10" i="14" s="1"/>
  <c r="R10" i="14"/>
  <c r="R16" i="14"/>
  <c r="T15" i="11"/>
  <c r="X12" i="17"/>
  <c r="AP18" i="20"/>
  <c r="S9" i="17"/>
  <c r="AZ9" i="11"/>
  <c r="AZ13" i="11" s="1"/>
  <c r="AZ17" i="11"/>
  <c r="U9" i="17"/>
  <c r="U19" i="17" s="1"/>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BK13" i="11"/>
  <c r="BH9" i="16"/>
  <c r="BH15" i="16"/>
  <c r="BF16" i="11"/>
  <c r="X11" i="17"/>
  <c r="V11" i="11"/>
  <c r="BI15" i="11"/>
  <c r="BG15" i="11"/>
  <c r="T15" i="16"/>
  <c r="BV12" i="16"/>
  <c r="U10" i="17"/>
  <c r="AA16" i="16"/>
  <c r="BG12" i="11"/>
  <c r="AQ10" i="21"/>
  <c r="Q15" i="17"/>
  <c r="AQ12" i="21"/>
  <c r="S15" i="17"/>
  <c r="L9" i="2"/>
  <c r="V15" i="11"/>
  <c r="Q17" i="20"/>
  <c r="Q18" i="20" s="1"/>
  <c r="S17" i="16"/>
  <c r="BI10" i="11"/>
  <c r="BJ15" i="11"/>
  <c r="BJ18" i="11" s="1"/>
  <c r="R17" i="20"/>
  <c r="R18" i="20" s="1"/>
  <c r="BU11" i="17"/>
  <c r="BW12" i="20"/>
  <c r="BW10" i="20"/>
  <c r="AZ16" i="11"/>
  <c r="Q17" i="17"/>
  <c r="T12" i="11"/>
  <c r="BM17" i="11"/>
  <c r="BJ16" i="11"/>
  <c r="AA11" i="16"/>
  <c r="T9" i="11"/>
  <c r="BH11" i="16"/>
  <c r="BH17" i="16"/>
  <c r="BM16" i="11"/>
  <c r="BL17" i="11"/>
  <c r="BF10" i="11"/>
  <c r="BK15" i="11"/>
  <c r="AP10" i="21"/>
  <c r="BH9" i="11"/>
  <c r="BJ11" i="11"/>
  <c r="BI17" i="11"/>
  <c r="BL11" i="11"/>
  <c r="BM15" i="11"/>
  <c r="BU15" i="17"/>
  <c r="BW17" i="20"/>
  <c r="BW16" i="20"/>
  <c r="BW15" i="20"/>
  <c r="BV10" i="16"/>
  <c r="BU16" i="17"/>
  <c r="AA17" i="16"/>
  <c r="X15" i="17"/>
  <c r="S15" i="16"/>
  <c r="S18" i="16" s="1"/>
  <c r="S19" i="16" s="1"/>
  <c r="BF12" i="11"/>
  <c r="BL10" i="11"/>
  <c r="BJ10" i="11"/>
  <c r="BH11" i="11"/>
  <c r="S17" i="17"/>
  <c r="BH12" i="16"/>
  <c r="L15" i="2"/>
  <c r="X15" i="16"/>
  <c r="X18" i="16" s="1"/>
  <c r="AA9" i="16"/>
  <c r="S12" i="14"/>
  <c r="V12" i="14" s="1"/>
  <c r="R17" i="14"/>
  <c r="S11" i="14"/>
  <c r="V11" i="14" s="1"/>
  <c r="X10" i="17"/>
  <c r="T17" i="20"/>
  <c r="U10" i="21"/>
  <c r="AA12" i="21"/>
  <c r="L11" i="2"/>
  <c r="V15" i="20"/>
  <c r="V18" i="20" s="1"/>
  <c r="S17" i="14"/>
  <c r="V17" i="14" s="1"/>
  <c r="R12" i="14"/>
  <c r="S15" i="14"/>
  <c r="V15" i="14" s="1"/>
  <c r="AA10" i="16"/>
  <c r="AQ13" i="21"/>
  <c r="V15" i="16"/>
  <c r="S11" i="17"/>
  <c r="AZ15" i="11"/>
  <c r="AZ18" i="11" s="1"/>
  <c r="L10" i="2"/>
  <c r="X12" i="16"/>
  <c r="AM16" i="11"/>
  <c r="X13" i="20"/>
  <c r="AO10" i="17"/>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L19" i="11"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<sst xmlns="http://schemas.openxmlformats.org/spreadsheetml/2006/main" count="2094" uniqueCount="913">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</sst>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K4cVjccFJTGZNsP8+tgyKID/SbWPMmTdvZvp+yMLStdKwULqECoBmKWNeCmeXMGKtPQq4sagZRy//F6rV2H4w==" saltValue="so1fGzZ4SbLg92iPj9JH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182</v>
      </c>
      <c r="D10" s="228">
        <f>IF(ISNUMBER(Datos!I10),Datos!I10," - ")</f>
        <v>182</v>
      </c>
      <c r="E10" s="229">
        <f>IF(ISNUMBER(Datos!J10),Datos!J10," - ")</f>
        <v>21</v>
      </c>
      <c r="F10" s="229">
        <f>IF(ISNUMBER(Datos!K10),Datos!K10," - ")</f>
        <v>29</v>
      </c>
      <c r="G10" s="1037" t="str">
        <f>IF(Datos!E10&lt;&gt;"",Datos!E10,Datos!D10)</f>
        <v>37</v>
      </c>
      <c r="H10" s="230">
        <f>IF(ISNUMBER(Datos!L10),Datos!L10," - ")</f>
        <v>174</v>
      </c>
      <c r="I10" s="1047" t="str">
        <f>IF(ISNUMBER(Datos!AS10/Datos!BM10),Datos!AS10/Datos!BM10," - ")</f>
        <v xml:space="preserve"> - </v>
      </c>
      <c r="J10" s="1048">
        <f>IF(ISNUMBER(Datos!BY10/Datos!CN10),Datos!BY10/Datos!CN10," - ")</f>
        <v>0</v>
      </c>
      <c r="K10" s="233">
        <f t="shared" ref="K10:K12" si="1">IF(ISNUMBER((E10-F10)/C10),(E10-F10)/C10," - ")</f>
        <v>-4.3956043956043959E-2</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50.771028037383175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182</v>
      </c>
      <c r="D13" s="1052">
        <f>SUBTOTAL(9,D9:D12)</f>
        <v>182</v>
      </c>
      <c r="E13" s="1053">
        <f>SUBTOTAL(9,E9:E12)</f>
        <v>21</v>
      </c>
      <c r="F13" s="1054">
        <f>SUBTOTAL(9,F9:F12)</f>
        <v>29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3915</v>
      </c>
      <c r="D16" s="228">
        <f>IF(ISNUMBER(IF(D_I="SI",Datos!I16,Datos!I16+Datos!AC16)),IF(D_I="SI",Datos!I16,Datos!I16+Datos!AC16)," - ")</f>
        <v>3855</v>
      </c>
      <c r="E16" s="229">
        <f>IF(ISNUMBER(IF(D_I="SI",Datos!J16,Datos!J16+Datos!AD16)),IF(D_I="SI",Datos!J16,Datos!J16+Datos!AD16)," - ")</f>
        <v>1507</v>
      </c>
      <c r="F16" s="229">
        <f>IF(ISNUMBER(IF(D_I="SI",Datos!K16,Datos!K16+Datos!AE16)),IF(D_I="SI",Datos!K16,Datos!K16+Datos!AE16)," - ")</f>
        <v>1547</v>
      </c>
      <c r="G16" s="1037" t="str">
        <f>IF(Datos!E16&lt;&gt;"",Datos!E16,Datos!D16)</f>
        <v>04</v>
      </c>
      <c r="H16" s="230">
        <f>IF(ISNUMBER(IF(D_I="SI",Datos!L16,Datos!L16+Datos!AF16)),IF(D_I="SI",Datos!L16,Datos!L16+Datos!AF16)," - ")</f>
        <v>3875</v>
      </c>
      <c r="I16" s="1047" t="str">
        <f>IF(ISNUMBER(Datos!AS16/Datos!BM16),Datos!AS16/Datos!BM16," - ")</f>
        <v xml:space="preserve"> - </v>
      </c>
      <c r="J16" s="1048">
        <f>IF(ISNUMBER(Datos!BY16/Datos!CN16),Datos!BY16/Datos!CN16," - ")</f>
        <v>0</v>
      </c>
      <c r="K16" s="233">
        <f t="shared" si="3"/>
        <v>-1.0217113665389528E-2</v>
      </c>
      <c r="L16" s="1028">
        <f>IF(ISNUMBER(NºAsuntos!I16/NºAsuntos!G16),(NºAsuntos!I16/NºAsuntos!G16)*11," - ")</f>
        <v>27.553329023917257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254</v>
      </c>
      <c r="D17" s="228">
        <f>IF(ISNUMBER(IF(D_I="SI",Datos!I17,Datos!I17+Datos!AC17)),IF(D_I="SI",Datos!I17,Datos!I17+Datos!AC17)," - ")</f>
        <v>254</v>
      </c>
      <c r="E17" s="229">
        <f>IF(ISNUMBER(IF(D_I="SI",Datos!J17,Datos!J17+Datos!AD17)),IF(D_I="SI",Datos!J17,Datos!J17+Datos!AD17)," - ")</f>
        <v>199</v>
      </c>
      <c r="F17" s="229">
        <f>IF(ISNUMBER(IF(D_I="SI",Datos!K17,Datos!K17+Datos!AE17)),IF(D_I="SI",Datos!K17,Datos!K17+Datos!AE17)," - ")</f>
        <v>187</v>
      </c>
      <c r="G17" s="1037" t="str">
        <f>IF(Datos!E17&lt;&gt;"",Datos!E17,Datos!D17)</f>
        <v>37</v>
      </c>
      <c r="H17" s="230">
        <f>IF(ISNUMBER(IF(D_I="SI",Datos!L17,Datos!L17+Datos!AF17)),IF(D_I="SI",Datos!L17,Datos!L17+Datos!AF17)," - ")</f>
        <v>266</v>
      </c>
      <c r="I17" s="1047" t="str">
        <f>IF(ISNUMBER(Datos!AS17/Datos!BM17),Datos!AS17/Datos!BM17," - ")</f>
        <v xml:space="preserve"> - </v>
      </c>
      <c r="J17" s="1048" t="str">
        <f>IF(ISNUMBER((Datos!BY17+Datos!BZ17)/Datos!CN17),(Datos!BY17+Datos!BZ17)/Datos!CN17," - ")</f>
        <v xml:space="preserve"> - </v>
      </c>
      <c r="K17" s="233">
        <f t="shared" si="3"/>
        <v>4.7244094488188976E-2</v>
      </c>
      <c r="L17" s="1028">
        <f>IF(ISNUMBER(NºAsuntos!I17/NºAsuntos!G17),(NºAsuntos!I17/NºAsuntos!G17)*11," - ")</f>
        <v>15.647058823529411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4169</v>
      </c>
      <c r="D18" s="1052">
        <f>SUBTOTAL(9,D15:D17)</f>
        <v>4109</v>
      </c>
      <c r="E18" s="1053">
        <f>SUBTOTAL(9,E15:E17)</f>
        <v>1706</v>
      </c>
      <c r="F18" s="1053">
        <f>SUBTOTAL(9,F15:F17)</f>
        <v>1734</v>
      </c>
      <c r="G18" s="1055" t="str">
        <f ca="1">INDIRECT(CONCATENATE("G",ROW()-1))</f>
        <v>37</v>
      </c>
      <c r="H18" s="1056">
        <f ca="1">SUMIF(G$14:G17,G18,H$14:H17)</f>
        <v>266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4351</v>
      </c>
      <c r="D19" s="1074">
        <f>SUBTOTAL(9,D9:D18)</f>
        <v>4291</v>
      </c>
      <c r="E19" s="1075">
        <f>SUBTOTAL(9,E9:E18)</f>
        <v>1727</v>
      </c>
      <c r="F19" s="1075">
        <f>SUBTOTAL(9,F9:F18)</f>
        <v>1763</v>
      </c>
      <c r="G19" s="1076"/>
      <c r="H19" s="1077">
        <f ca="1">SUMIF(B9:B18,"TOTAL",H9:H18)</f>
        <v>266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1SpCgBJGzNOIVp8GYQxs1nTpDrFjvlAFEtuVTkRMHo+zrxS0kXCMnKrOFHIO0GEZK3nehyHRIdGj3lg7O55cg==" saltValue="kddn9asdif0VCchAJyIAt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vcKT1Y1F22n7uUdEvlodSPUzdKESHrmQd6Avi1V4pDVdV8BbCcFtoH08t6bmW6qF4JxuPM51ONOqtwzDEkDgw==" saltValue="NdIJWFXf7R+WLdzThc/l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182</v>
      </c>
      <c r="J10" s="184">
        <v>21</v>
      </c>
      <c r="K10" s="184">
        <v>29</v>
      </c>
      <c r="L10" s="184">
        <v>174</v>
      </c>
      <c r="M10" s="184">
        <v>11</v>
      </c>
      <c r="N10" s="184">
        <v>4</v>
      </c>
      <c r="O10" s="184">
        <v>12</v>
      </c>
      <c r="P10" s="184">
        <v>5</v>
      </c>
      <c r="Q10" s="184">
        <v>0</v>
      </c>
      <c r="R10" s="184">
        <v>34</v>
      </c>
      <c r="S10" s="184">
        <v>148</v>
      </c>
      <c r="T10" s="184">
        <v>40</v>
      </c>
      <c r="U10" s="184">
        <v>18</v>
      </c>
      <c r="V10" s="184">
        <v>155</v>
      </c>
      <c r="W10" s="184">
        <v>11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148</v>
      </c>
      <c r="AZ10" s="129">
        <f t="shared" si="0"/>
        <v>40</v>
      </c>
      <c r="BA10" s="129">
        <f t="shared" si="0"/>
        <v>18</v>
      </c>
      <c r="BB10" s="129">
        <f t="shared" si="0"/>
        <v>155</v>
      </c>
      <c r="BC10" s="125">
        <f t="shared" si="0"/>
        <v>11</v>
      </c>
      <c r="BD10" s="126">
        <f>IF(ISNUMBER(BA10/AZ10),BA10/AZ10," - ")</f>
        <v>0.45</v>
      </c>
      <c r="BE10" s="127">
        <f>IF(ISNUMBER(BB10/BA10),BB10/BA10, " - ")</f>
        <v>8.6111111111111107</v>
      </c>
      <c r="BF10" s="127">
        <f>IF(ISNUMBER(BC10/BA10),BC10/BA10, " - ")</f>
        <v>0.61111111111111116</v>
      </c>
      <c r="BG10" s="199">
        <f>IF(ISNUMBER((AY10+AZ10)/BA10),(AY10+AZ10)/BA10," - ")</f>
        <v>10.444444444444445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10369</v>
      </c>
      <c r="J12" s="186">
        <v>2255</v>
      </c>
      <c r="K12" s="186">
        <v>2189</v>
      </c>
      <c r="L12" s="186">
        <v>10435</v>
      </c>
      <c r="M12" s="186">
        <v>492</v>
      </c>
      <c r="N12" s="186">
        <v>787</v>
      </c>
      <c r="O12" s="184">
        <v>1300</v>
      </c>
      <c r="P12" s="186">
        <v>485</v>
      </c>
      <c r="Q12" s="186">
        <v>330</v>
      </c>
      <c r="R12" s="186">
        <v>13458</v>
      </c>
      <c r="S12" s="186">
        <v>8966</v>
      </c>
      <c r="T12" s="186">
        <v>2691</v>
      </c>
      <c r="U12" s="186">
        <v>1853</v>
      </c>
      <c r="V12" s="186">
        <v>9720</v>
      </c>
      <c r="W12" s="186">
        <v>325</v>
      </c>
      <c r="X12" s="192">
        <v>656</v>
      </c>
      <c r="Y12" s="194">
        <v>568</v>
      </c>
      <c r="Z12" s="184">
        <v>81</v>
      </c>
      <c r="AA12" s="184">
        <v>165</v>
      </c>
      <c r="AB12" s="184">
        <v>430</v>
      </c>
      <c r="AC12" s="186">
        <v>0</v>
      </c>
      <c r="AD12" s="186">
        <v>0</v>
      </c>
      <c r="AE12" s="186">
        <v>0</v>
      </c>
      <c r="AF12" s="192">
        <v>0</v>
      </c>
      <c r="AG12" s="205">
        <v>471</v>
      </c>
      <c r="AH12" s="186">
        <v>145</v>
      </c>
      <c r="AI12" s="186">
        <v>136</v>
      </c>
      <c r="AJ12" s="206">
        <v>471</v>
      </c>
      <c r="AK12" s="185">
        <v>0</v>
      </c>
      <c r="AL12" s="186">
        <v>0</v>
      </c>
      <c r="AM12" s="186">
        <v>0</v>
      </c>
      <c r="AN12" s="192">
        <v>0</v>
      </c>
      <c r="AO12" s="262">
        <v>7</v>
      </c>
      <c r="AP12" s="158">
        <v>7</v>
      </c>
      <c r="AQ12" s="158">
        <v>7</v>
      </c>
      <c r="AR12" s="157">
        <v>7</v>
      </c>
      <c r="AS12" s="343" t="s">
        <v>807</v>
      </c>
      <c r="AT12" s="206"/>
      <c r="AU12" s="205"/>
      <c r="AV12" s="206"/>
      <c r="AW12" s="205"/>
      <c r="AX12" s="206"/>
      <c r="AY12" s="126">
        <f t="shared" si="1"/>
        <v>9437</v>
      </c>
      <c r="AZ12" s="127">
        <f t="shared" si="1"/>
        <v>2836</v>
      </c>
      <c r="BA12" s="127">
        <f t="shared" si="1"/>
        <v>1989</v>
      </c>
      <c r="BB12" s="127">
        <f t="shared" si="1"/>
        <v>10191</v>
      </c>
      <c r="BC12" s="125">
        <f>IF(ISNUMBER(X12),X12," - ")</f>
        <v>656</v>
      </c>
      <c r="BD12" s="126">
        <f t="shared" si="2"/>
        <v>0.70133991537376583</v>
      </c>
      <c r="BE12" s="127">
        <f t="shared" si="3"/>
        <v>5.1236802413272997</v>
      </c>
      <c r="BF12" s="127">
        <f t="shared" si="4"/>
        <v>0.3298139768728004</v>
      </c>
      <c r="BG12" s="199">
        <f t="shared" si="5"/>
        <v>6.1704374057315237</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10551</v>
      </c>
      <c r="J13" s="187">
        <f t="shared" si="6"/>
        <v>2276</v>
      </c>
      <c r="K13" s="187">
        <f t="shared" si="6"/>
        <v>2218</v>
      </c>
      <c r="L13" s="187">
        <f t="shared" si="6"/>
        <v>10609</v>
      </c>
      <c r="M13" s="187">
        <f t="shared" si="6"/>
        <v>503</v>
      </c>
      <c r="N13" s="187">
        <f t="shared" si="6"/>
        <v>791</v>
      </c>
      <c r="O13" s="187">
        <f t="shared" si="6"/>
        <v>1312</v>
      </c>
      <c r="P13" s="187">
        <f t="shared" si="6"/>
        <v>490</v>
      </c>
      <c r="Q13" s="187">
        <f t="shared" si="6"/>
        <v>330</v>
      </c>
      <c r="R13" s="187">
        <f t="shared" si="6"/>
        <v>13492</v>
      </c>
      <c r="S13" s="187">
        <f t="shared" si="6"/>
        <v>9114</v>
      </c>
      <c r="T13" s="187">
        <f t="shared" si="6"/>
        <v>2731</v>
      </c>
      <c r="U13" s="187">
        <f t="shared" si="6"/>
        <v>1871</v>
      </c>
      <c r="V13" s="187">
        <f t="shared" si="6"/>
        <v>9875</v>
      </c>
      <c r="W13" s="187">
        <f t="shared" si="6"/>
        <v>336</v>
      </c>
      <c r="X13" s="187">
        <f t="shared" si="6"/>
        <v>656</v>
      </c>
      <c r="Y13" s="187">
        <f t="shared" si="6"/>
        <v>568</v>
      </c>
      <c r="Z13" s="187">
        <f t="shared" si="6"/>
        <v>81</v>
      </c>
      <c r="AA13" s="187">
        <f t="shared" si="6"/>
        <v>165</v>
      </c>
      <c r="AB13" s="187">
        <f t="shared" si="6"/>
        <v>430</v>
      </c>
      <c r="AC13" s="187">
        <f t="shared" si="6"/>
        <v>0</v>
      </c>
      <c r="AD13" s="187">
        <f t="shared" si="6"/>
        <v>0</v>
      </c>
      <c r="AE13" s="187">
        <f t="shared" si="6"/>
        <v>0</v>
      </c>
      <c r="AF13" s="187">
        <f>SUBTOTAL(9,AF9:AF12)</f>
        <v>0</v>
      </c>
      <c r="AG13" s="187">
        <f t="shared" ref="AG13:AT13" si="7">SUBTOTAL(9,AG8:AG12)</f>
        <v>471</v>
      </c>
      <c r="AH13" s="187">
        <f t="shared" si="7"/>
        <v>145</v>
      </c>
      <c r="AI13" s="187">
        <f t="shared" si="7"/>
        <v>136</v>
      </c>
      <c r="AJ13" s="187">
        <f t="shared" si="7"/>
        <v>471</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9585</v>
      </c>
      <c r="AZ13" s="187">
        <f>SUBTOTAL(9,AZ8:AZ12)</f>
        <v>2876</v>
      </c>
      <c r="BA13" s="187">
        <f>SUBTOTAL(9,BA8:BA12)</f>
        <v>2007</v>
      </c>
      <c r="BB13" s="187">
        <f>SUBTOTAL(9,BB8:BB12)</f>
        <v>10346</v>
      </c>
      <c r="BC13" s="187">
        <f>SUBTOTAL(9,BC8:BC12)</f>
        <v>667</v>
      </c>
      <c r="BD13" s="208">
        <f>IF(ISNUMBER(BA13/AZ13),BA13/AZ13," - ")</f>
        <v>0.6978442280945758</v>
      </c>
      <c r="BE13" s="209">
        <f>IF(ISNUMBER(BB13/BA13),BB13/BA13, " - ")</f>
        <v>5.154957648231191</v>
      </c>
      <c r="BF13" s="209">
        <f>IF(ISNUMBER(BC13/BA13),BC13/BA13, " - ")</f>
        <v>0.33233682112605878</v>
      </c>
      <c r="BG13" s="210">
        <f>IF(ISNUMBER((AY13+AZ13)/BA13),(AY13+AZ13)/BA13," - ")</f>
        <v>6.2087693074240162</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3855</v>
      </c>
      <c r="J16" s="186">
        <v>1507</v>
      </c>
      <c r="K16" s="186">
        <v>1547</v>
      </c>
      <c r="L16" s="186">
        <v>3875</v>
      </c>
      <c r="M16" s="186">
        <v>197</v>
      </c>
      <c r="N16" s="186">
        <v>837</v>
      </c>
      <c r="O16" s="184">
        <v>88</v>
      </c>
      <c r="P16" s="186">
        <v>44</v>
      </c>
      <c r="Q16" s="186">
        <v>115</v>
      </c>
      <c r="R16" s="186">
        <v>431</v>
      </c>
      <c r="S16" s="186">
        <v>4028</v>
      </c>
      <c r="T16" s="186">
        <v>1671</v>
      </c>
      <c r="U16" s="186">
        <v>1522</v>
      </c>
      <c r="V16" s="186">
        <v>3962</v>
      </c>
      <c r="W16" s="186">
        <v>185</v>
      </c>
      <c r="X16" s="192">
        <v>786</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7</v>
      </c>
      <c r="AP16" s="158">
        <v>7</v>
      </c>
      <c r="AQ16" s="158">
        <v>7</v>
      </c>
      <c r="AR16" s="158">
        <v>7</v>
      </c>
      <c r="AS16" s="343" t="s">
        <v>491</v>
      </c>
      <c r="AT16" s="206"/>
      <c r="AU16" s="205"/>
      <c r="AV16" s="206"/>
      <c r="AW16" s="205"/>
      <c r="AX16" s="206"/>
      <c r="AY16" s="126">
        <f t="shared" si="9"/>
        <v>4028</v>
      </c>
      <c r="AZ16" s="127">
        <f t="shared" si="9"/>
        <v>1671</v>
      </c>
      <c r="BA16" s="127">
        <f t="shared" si="9"/>
        <v>1522</v>
      </c>
      <c r="BB16" s="127">
        <f t="shared" si="9"/>
        <v>3962</v>
      </c>
      <c r="BC16" s="125">
        <f>IF(ISNUMBER(W16),W16," - ")</f>
        <v>185</v>
      </c>
      <c r="BD16" s="126">
        <f t="shared" ref="BD16" si="11">IF(ISNUMBER(BA16/AZ16),BA16/AZ16," - ")</f>
        <v>0.91083183722321959</v>
      </c>
      <c r="BE16" s="127">
        <f t="shared" ref="BE16" si="12">IF(ISNUMBER(BB16/BA16),BB16/BA16, " - ")</f>
        <v>2.6031537450722735</v>
      </c>
      <c r="BF16" s="127">
        <f t="shared" ref="BF16" si="13">IF(ISNUMBER(BC16/BA16),BC16/BA16, " - ")</f>
        <v>0.12155059132720106</v>
      </c>
      <c r="BG16" s="199">
        <f t="shared" si="10"/>
        <v>3.7444152431011828</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254</v>
      </c>
      <c r="J17" s="186">
        <v>199</v>
      </c>
      <c r="K17" s="186">
        <v>187</v>
      </c>
      <c r="L17" s="186">
        <v>266</v>
      </c>
      <c r="M17" s="186">
        <v>40</v>
      </c>
      <c r="N17" s="186">
        <v>120</v>
      </c>
      <c r="O17" s="186">
        <v>2</v>
      </c>
      <c r="P17" s="186">
        <v>4</v>
      </c>
      <c r="Q17" s="186">
        <v>2</v>
      </c>
      <c r="R17" s="186">
        <v>27</v>
      </c>
      <c r="S17" s="186">
        <v>108</v>
      </c>
      <c r="T17" s="186">
        <v>230</v>
      </c>
      <c r="U17" s="186">
        <v>155</v>
      </c>
      <c r="V17" s="186">
        <v>147</v>
      </c>
      <c r="W17" s="186">
        <v>42</v>
      </c>
      <c r="X17" s="192">
        <v>117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108</v>
      </c>
      <c r="AZ17" s="129">
        <f t="shared" si="14"/>
        <v>230</v>
      </c>
      <c r="BA17" s="129">
        <f t="shared" si="14"/>
        <v>155</v>
      </c>
      <c r="BB17" s="129">
        <f t="shared" si="14"/>
        <v>147</v>
      </c>
      <c r="BC17" s="125">
        <f>IF(ISNUMBER(W17),W17," - ")</f>
        <v>42</v>
      </c>
      <c r="BD17" s="126">
        <f>IF(ISNUMBER(BA17/AZ17),BA17/AZ17," - ")</f>
        <v>0.67391304347826086</v>
      </c>
      <c r="BE17" s="127">
        <f>IF(ISNUMBER(BB17/BA17),BB17/BA17, " - ")</f>
        <v>0.94838709677419353</v>
      </c>
      <c r="BF17" s="127">
        <f>IF(ISNUMBER(BC17/BA17),BC17/BA17, " - ")</f>
        <v>0.2709677419354839</v>
      </c>
      <c r="BG17" s="199">
        <f>IF(ISNUMBER((AY17+AZ17)/BA17),(AY17+AZ17)/BA17," - ")</f>
        <v>2.1806451612903226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4109</v>
      </c>
      <c r="J18" s="187">
        <f t="shared" si="15"/>
        <v>1706</v>
      </c>
      <c r="K18" s="187">
        <f t="shared" si="15"/>
        <v>1734</v>
      </c>
      <c r="L18" s="187">
        <f t="shared" si="15"/>
        <v>4141</v>
      </c>
      <c r="M18" s="187">
        <f t="shared" si="15"/>
        <v>237</v>
      </c>
      <c r="N18" s="187">
        <f t="shared" si="15"/>
        <v>957</v>
      </c>
      <c r="O18" s="187">
        <f t="shared" si="15"/>
        <v>90</v>
      </c>
      <c r="P18" s="187">
        <f t="shared" si="15"/>
        <v>48</v>
      </c>
      <c r="Q18" s="187">
        <f t="shared" si="15"/>
        <v>117</v>
      </c>
      <c r="R18" s="187">
        <f t="shared" si="15"/>
        <v>458</v>
      </c>
      <c r="S18" s="187">
        <f t="shared" si="15"/>
        <v>4136</v>
      </c>
      <c r="T18" s="187">
        <f t="shared" si="15"/>
        <v>1901</v>
      </c>
      <c r="U18" s="187">
        <f t="shared" si="15"/>
        <v>1677</v>
      </c>
      <c r="V18" s="187">
        <f t="shared" si="15"/>
        <v>4109</v>
      </c>
      <c r="W18" s="187">
        <f t="shared" si="15"/>
        <v>227</v>
      </c>
      <c r="X18" s="187">
        <f t="shared" si="15"/>
        <v>903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4136</v>
      </c>
      <c r="AZ18" s="187">
        <f>SUBTOTAL(9,AZ14:AZ17)</f>
        <v>1901</v>
      </c>
      <c r="BA18" s="187">
        <f>SUBTOTAL(9,BA14:BA17)</f>
        <v>1677</v>
      </c>
      <c r="BB18" s="187">
        <f>SUBTOTAL(9,BB14:BB17)</f>
        <v>4109</v>
      </c>
      <c r="BC18" s="187">
        <f>SUBTOTAL(9,BC14:BC17)</f>
        <v>227</v>
      </c>
      <c r="BD18" s="208">
        <f>IF(ISNUMBER(BA18/AZ18),BA18/AZ18," - ")</f>
        <v>0.88216728037874803</v>
      </c>
      <c r="BE18" s="209">
        <f>IF(ISNUMBER(BB18/BA18),BB18/BA18, " - ")</f>
        <v>2.4502087060226594</v>
      </c>
      <c r="BF18" s="209">
        <f>IF(ISNUMBER(BC18/BA18),BC18/BA18, " - ")</f>
        <v>0.13536076326774002</v>
      </c>
      <c r="BG18" s="210">
        <f>IF(ISNUMBER((AY18+AZ18)/BA18),(AY18+AZ18)/BA18," - ")</f>
        <v>3.5998807394156231</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14660</v>
      </c>
      <c r="J19" s="134">
        <f t="shared" si="18"/>
        <v>3982</v>
      </c>
      <c r="K19" s="134">
        <f t="shared" si="18"/>
        <v>3952</v>
      </c>
      <c r="L19" s="134">
        <f t="shared" si="18"/>
        <v>14750</v>
      </c>
      <c r="M19" s="134">
        <f t="shared" si="18"/>
        <v>740</v>
      </c>
      <c r="N19" s="134">
        <f t="shared" si="18"/>
        <v>1748</v>
      </c>
      <c r="O19" s="134">
        <f t="shared" si="18"/>
        <v>1402</v>
      </c>
      <c r="P19" s="134">
        <f t="shared" si="18"/>
        <v>538</v>
      </c>
      <c r="Q19" s="134">
        <f t="shared" si="18"/>
        <v>447</v>
      </c>
      <c r="R19" s="134">
        <f t="shared" si="18"/>
        <v>13950</v>
      </c>
      <c r="S19" s="134">
        <f t="shared" si="18"/>
        <v>13250</v>
      </c>
      <c r="T19" s="134">
        <f t="shared" si="18"/>
        <v>4632</v>
      </c>
      <c r="U19" s="134">
        <f t="shared" si="18"/>
        <v>3548</v>
      </c>
      <c r="V19" s="134">
        <f t="shared" si="18"/>
        <v>13984</v>
      </c>
      <c r="W19" s="134">
        <f t="shared" si="18"/>
        <v>563</v>
      </c>
      <c r="X19" s="134">
        <f t="shared" si="18"/>
        <v>1559</v>
      </c>
      <c r="Y19" s="134">
        <f t="shared" si="18"/>
        <v>568</v>
      </c>
      <c r="Z19" s="134">
        <f t="shared" si="18"/>
        <v>81</v>
      </c>
      <c r="AA19" s="134">
        <f t="shared" si="18"/>
        <v>165</v>
      </c>
      <c r="AB19" s="134">
        <f t="shared" si="18"/>
        <v>430</v>
      </c>
      <c r="AC19" s="134">
        <f t="shared" si="18"/>
        <v>0</v>
      </c>
      <c r="AD19" s="134">
        <f t="shared" si="18"/>
        <v>0</v>
      </c>
      <c r="AE19" s="134">
        <f t="shared" si="18"/>
        <v>0</v>
      </c>
      <c r="AF19" s="134">
        <f t="shared" si="18"/>
        <v>0</v>
      </c>
      <c r="AG19" s="134">
        <f t="shared" si="18"/>
        <v>471</v>
      </c>
      <c r="AH19" s="134">
        <f t="shared" si="18"/>
        <v>145</v>
      </c>
      <c r="AI19" s="134">
        <f t="shared" si="18"/>
        <v>136</v>
      </c>
      <c r="AJ19" s="134">
        <f t="shared" si="18"/>
        <v>471</v>
      </c>
      <c r="AK19" s="134">
        <f t="shared" si="18"/>
        <v>0</v>
      </c>
      <c r="AL19" s="134">
        <f t="shared" si="18"/>
        <v>1</v>
      </c>
      <c r="AM19" s="134">
        <f t="shared" si="18"/>
        <v>1</v>
      </c>
      <c r="AN19" s="213">
        <f t="shared" si="18"/>
        <v>0</v>
      </c>
      <c r="AO19" s="214">
        <v>8</v>
      </c>
      <c r="AP19" s="214">
        <v>7</v>
      </c>
      <c r="AQ19" s="214">
        <v>7</v>
      </c>
      <c r="AR19" s="214">
        <v>7</v>
      </c>
      <c r="AS19" s="156">
        <f t="shared" si="18"/>
        <v>0</v>
      </c>
      <c r="AT19" s="156">
        <f t="shared" si="18"/>
        <v>0</v>
      </c>
      <c r="AU19" s="214"/>
      <c r="AV19" s="215"/>
      <c r="AW19" s="214"/>
      <c r="AX19" s="215"/>
      <c r="AY19" s="133">
        <f>SUBTOTAL(9,AY9:AY18)</f>
        <v>13721</v>
      </c>
      <c r="AZ19" s="134">
        <f>SUBTOTAL(9,AZ9:AZ18)</f>
        <v>4777</v>
      </c>
      <c r="BA19" s="134">
        <f>SUBTOTAL(9,BA9:BA18)</f>
        <v>3684</v>
      </c>
      <c r="BB19" s="134">
        <f>SUBTOTAL(9,BB9:BB18)</f>
        <v>14455</v>
      </c>
      <c r="BC19" s="135">
        <f>SUBTOTAL(9,BC9:BC18)</f>
        <v>894</v>
      </c>
      <c r="BD19" s="216">
        <f>IF(ISNUMBER(BA19/AZ19),BA19/AZ19," - ")</f>
        <v>0.77119531086455939</v>
      </c>
      <c r="BE19" s="213">
        <f>IF(ISNUMBER(BB19/BA19),BB19/BA19, " - ")</f>
        <v>3.9237242128121608</v>
      </c>
      <c r="BF19" s="213">
        <f>IF(ISNUMBER(BC19/BA19),BC19/BA19, " - ")</f>
        <v>0.24267100977198697</v>
      </c>
      <c r="BG19" s="135">
        <f>IF(ISNUMBER((AY19+AZ19)/BA19),(AY19+AZ19)/BA19," - ")</f>
        <v>5.0211726384364823</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Fr/IBaPip3IYTQdvXPy1jzAo2oqBNtQIchRUurTX08WbuNWix3HelVWXpogIIZPkGCxgbrnQhKF0uNn+hGBCg==" saltValue="mrgk57jHp8KQF2fpoHqh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n3lRCwEYZtJMWkn4nn1n8X/iO8Hde6DqSP7nJlzYCWxxRCX+jpb7EXn7ujPT8Ow7syeGJb9H/dxLTNSEHqhsw==" saltValue="TXKcFPwwgOZF0ip74Ep4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MOLINA DE SEGURA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182</v>
      </c>
      <c r="G10" s="336">
        <f>IF(ISNUMBER(Datos!I10),Datos!I10," - ")</f>
        <v>182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29</v>
      </c>
      <c r="AC10" s="229">
        <f>IF(ISNUMBER(Datos!Q10),Datos!Q10," - ")</f>
        <v>0</v>
      </c>
      <c r="AD10" s="337"/>
      <c r="AE10" s="487"/>
      <c r="AF10" s="335">
        <f>IF(ISNUMBER(Datos!L10),Datos!L10,"-")</f>
        <v>174</v>
      </c>
      <c r="AG10" s="337"/>
      <c r="AH10" s="337"/>
      <c r="AI10" s="337"/>
      <c r="AJ10" s="337"/>
      <c r="AK10" s="337"/>
      <c r="AL10" s="482"/>
      <c r="AM10" s="338">
        <f>IF(ISNUMBER(Datos!R10),Datos!R10," - ")</f>
        <v>34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4</v>
      </c>
      <c r="BE10" s="232" t="str">
        <f>IF(ISNUMBER(Datos!BW10),Datos!BW10," - ")</f>
        <v xml:space="preserve"> - </v>
      </c>
      <c r="BF10" s="231" t="str">
        <f>IF(ISNUMBER(Datos!BX10),Datos!BX10," - ")</f>
        <v xml:space="preserve"> - </v>
      </c>
      <c r="BG10" s="246">
        <f>IF(ISNUMBER(Datos!K10/Datos!J10),Datos!K10/Datos!J10," - ")</f>
        <v>1.3809523809523809</v>
      </c>
      <c r="BH10" s="263">
        <f>IF(ISNUMBER(((Datos!L10/Datos!K10)*11)/factor_trimestre),((Datos!L10/Datos!K10)*11)/factor_trimestre," - ")</f>
        <v>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0.17241379310344829</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81</v>
      </c>
      <c r="O12" s="337"/>
      <c r="P12" s="337"/>
      <c r="Q12" s="229">
        <f>IF(ISNUMBER(Datos!P12),Datos!P12,0)</f>
        <v>485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430</v>
      </c>
      <c r="AI12" s="337" t="str">
        <f>IF(ISNUMBER(Datos!CD12),Datos!CD12,"-")</f>
        <v>-</v>
      </c>
      <c r="AJ12" s="337" t="str">
        <f>IF(ISNUMBER(Datos!EN12),Datos!EN12," - ")</f>
        <v xml:space="preserve"> - </v>
      </c>
      <c r="AK12" s="337"/>
      <c r="AL12" s="482"/>
      <c r="AM12" s="338">
        <f>IF(ISNUMBER(Datos!R12),Datos!R12," - ")</f>
        <v>13458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492</v>
      </c>
      <c r="BD12" s="232">
        <f>IF(ISNUMBER(Datos!N12),Datos!N12," - ")</f>
        <v>787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1.0077054794520548</v>
      </c>
      <c r="BH12" s="263">
        <f>IF(ISNUMBER(((IF(J_V="SI",Datos!L12/Datos!K12,(Datos!L12+Datos!AB12)/(Datos!K12+Datos!AA12)))*11)/factor_trimestre),((IF(J_V="SI",Datos!L12/Datos!K12,(Datos!L12+Datos!AB12)/(Datos!K12+Datos!AA12)))*11)/factor_trimestre," - ")</f>
        <v>13.846644010195412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1.1651507178831842E-2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182</v>
      </c>
      <c r="G13" s="901">
        <f t="shared" si="0"/>
        <v>182</v>
      </c>
      <c r="H13" s="902">
        <f t="shared" si="0"/>
        <v>0</v>
      </c>
      <c r="I13" s="901">
        <f t="shared" si="0"/>
        <v>0</v>
      </c>
      <c r="J13" s="870">
        <f t="shared" si="0"/>
        <v>0</v>
      </c>
      <c r="K13" s="870">
        <f t="shared" si="0"/>
        <v>0</v>
      </c>
      <c r="L13" s="902">
        <f t="shared" si="0"/>
        <v>0</v>
      </c>
      <c r="M13" s="902">
        <f t="shared" si="0"/>
        <v>0</v>
      </c>
      <c r="N13" s="902">
        <f t="shared" si="0"/>
        <v>81</v>
      </c>
      <c r="O13" s="903">
        <f t="shared" si="0"/>
        <v>0</v>
      </c>
      <c r="P13" s="903">
        <f t="shared" si="0"/>
        <v>0</v>
      </c>
      <c r="Q13" s="902">
        <f t="shared" si="0"/>
        <v>490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29</v>
      </c>
      <c r="AC13" s="902">
        <f t="shared" si="1"/>
        <v>330</v>
      </c>
      <c r="AD13" s="902">
        <f t="shared" si="1"/>
        <v>0</v>
      </c>
      <c r="AE13" s="902">
        <f t="shared" si="1"/>
        <v>0</v>
      </c>
      <c r="AF13" s="902">
        <f t="shared" si="1"/>
        <v>174</v>
      </c>
      <c r="AG13" s="902">
        <f t="shared" si="1"/>
        <v>0</v>
      </c>
      <c r="AH13" s="902">
        <f t="shared" si="1"/>
        <v>430</v>
      </c>
      <c r="AI13" s="902">
        <f t="shared" si="1"/>
        <v>0</v>
      </c>
      <c r="AJ13" s="902">
        <f t="shared" si="1"/>
        <v>0</v>
      </c>
      <c r="AK13" s="902">
        <f t="shared" si="1"/>
        <v>0</v>
      </c>
      <c r="AL13" s="902">
        <f t="shared" si="1"/>
        <v>0</v>
      </c>
      <c r="AM13" s="902">
        <f t="shared" si="1"/>
        <v>13492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503</v>
      </c>
      <c r="BD13" s="902">
        <f t="shared" si="1"/>
        <v>791</v>
      </c>
      <c r="BE13" s="902">
        <f t="shared" si="1"/>
        <v>0</v>
      </c>
      <c r="BF13" s="902">
        <f t="shared" si="1"/>
        <v>0</v>
      </c>
      <c r="BG13" s="902">
        <f>IF(ISNUMBER(Datos!K13/Datos!J13),Datos!K13/Datos!J13," - ")</f>
        <v>0.97451669595782076</v>
      </c>
      <c r="BH13" s="906">
        <f>IF(ISNUMBER(((Datos!L13/Datos!K13)*11)/factor_trimestre),((Datos!L13/Datos!K13)*11)/factor_trimestre," - ")</f>
        <v>14.349413886384129</v>
      </c>
      <c r="BI13" s="902">
        <f>IF(ISNUMBER('Resol  Asuntos'!D13/NºAsuntos!G13),'Resol  Asuntos'!D13/NºAsuntos!G13," - ")</f>
        <v>0.21107847251363826</v>
      </c>
      <c r="BJ13" s="902" t="str">
        <f>IF(ISNUMBER(Datos!CI13/Datos!CJ13),Datos!CI13/Datos!CJ13," - ")</f>
        <v xml:space="preserve"> - </v>
      </c>
      <c r="BK13" s="902">
        <f>SUBTOTAL(9,BK8:BK12)</f>
        <v>0</v>
      </c>
      <c r="BL13" s="902">
        <f>IF(ISNUMBER((I13-AB13+L13)/(F13)),(I13-AB13+L13)/(F13)," - ")</f>
        <v>-0.15934065934065933</v>
      </c>
      <c r="BM13" s="907">
        <f>SUBTOTAL(9,BM9:BM12)</f>
        <v>0.18406530028228013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3915</v>
      </c>
      <c r="G16" s="601">
        <f>IF(ISNUMBER(IF(D_I="SI",Datos!I16,Datos!I16+Datos!AC16)),IF(D_I="SI",Datos!I16,Datos!I16+Datos!AC16)," - ")</f>
        <v>3855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1547</v>
      </c>
      <c r="AC16" s="229">
        <f>IF(ISNUMBER(Datos!Q16),Datos!Q16," - ")</f>
        <v>115</v>
      </c>
      <c r="AD16" s="337"/>
      <c r="AE16" s="487"/>
      <c r="AF16" s="599">
        <f>IF(ISNUMBER(IF(D_I="SI",Datos!L16,Datos!L16+Datos!AF16)),IF(D_I="SI",Datos!L16,Datos!L16+Datos!AF16)," - ")</f>
        <v>3875</v>
      </c>
      <c r="AG16" s="337"/>
      <c r="AH16" s="337"/>
      <c r="AI16" s="337"/>
      <c r="AJ16" s="337"/>
      <c r="AK16" s="337"/>
      <c r="AL16" s="482"/>
      <c r="AM16" s="338">
        <f>IF(ISNUMBER(Datos!R16),Datos!R16," - ")</f>
        <v>431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197</v>
      </c>
      <c r="BD16" s="232">
        <f>IF(ISNUMBER(Datos!N16),Datos!N16," - ")</f>
        <v>837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1.026542800265428</v>
      </c>
      <c r="BH16" s="263">
        <f>IF(ISNUMBER(((IF(D_I="SI",Datos!L16/Datos!K16,(Datos!L16+Datos!AF16)/(Datos!K16+Datos!AE16)))*11)/factor_trimestre),((IF(D_I="SI",Datos!L16/Datos!K16,(Datos!L16+Datos!AF16)/(Datos!K16+Datos!AE16)))*11)/factor_trimestre," - ")</f>
        <v>7.5145442792501616</v>
      </c>
      <c r="BI16" s="246">
        <f>IF(ISNUMBER('Resol  Asuntos'!D16/NºAsuntos!G16),'Resol  Asuntos'!D16/NºAsuntos!G16," - ")</f>
        <v>0.12734324499030381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187</v>
      </c>
      <c r="AC17" s="229">
        <f>IF(ISNUMBER(Datos!Q17),Datos!Q17," - ")</f>
        <v>2</v>
      </c>
      <c r="AD17" s="337"/>
      <c r="AE17" s="487"/>
      <c r="AF17" s="335">
        <f>IF(ISNUMBER(Datos!L17),Datos!L17,"-")</f>
        <v>266</v>
      </c>
      <c r="AG17" s="337"/>
      <c r="AH17" s="337"/>
      <c r="AI17" s="337"/>
      <c r="AJ17" s="337"/>
      <c r="AK17" s="337"/>
      <c r="AL17" s="482"/>
      <c r="AM17" s="338">
        <f>IF(ISNUMBER(Datos!R17),Datos!R17," - ")</f>
        <v>27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40</v>
      </c>
      <c r="BD17" s="232">
        <f>IF(ISNUMBER(Datos!N17),Datos!N17," - ")</f>
        <v>120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0.93969849246231152</v>
      </c>
      <c r="BH17" s="263">
        <f>IF(ISNUMBER(((IF(D_I="SI",Datos!L17/Datos!K17,(Datos!L17+Datos!AF17)/(Datos!K17+Datos!AE17)))*11)/factor_trimestre),((IF(D_I="SI",Datos!L17/Datos!K17,(Datos!L17+Datos!AF17)/(Datos!K17+Datos!AE17)))*11)/factor_trimestre," - ")</f>
        <v>4.2673796791443852</v>
      </c>
      <c r="BI17" s="246">
        <f>IF(ISNUMBER('Resol  Asuntos'!D17/NºAsuntos!G17),'Resol  Asuntos'!D17/NºAsuntos!G17," - ")</f>
        <v>0.21390374331550802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3915</v>
      </c>
      <c r="G18" s="901">
        <f>SUBTOTAL(9,G15:G17)</f>
        <v>4109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1734</v>
      </c>
      <c r="AC18" s="902">
        <f t="shared" si="4"/>
        <v>117</v>
      </c>
      <c r="AD18" s="902">
        <f t="shared" si="4"/>
        <v>0</v>
      </c>
      <c r="AE18" s="902">
        <f t="shared" si="4"/>
        <v>0</v>
      </c>
      <c r="AF18" s="902">
        <f t="shared" si="4"/>
        <v>4141</v>
      </c>
      <c r="AG18" s="902">
        <f t="shared" si="4"/>
        <v>0</v>
      </c>
      <c r="AH18" s="902">
        <f t="shared" si="4"/>
        <v>0</v>
      </c>
      <c r="AI18" s="902">
        <f t="shared" si="4"/>
        <v>0</v>
      </c>
      <c r="AJ18" s="902">
        <f t="shared" si="4"/>
        <v>0</v>
      </c>
      <c r="AK18" s="902">
        <f t="shared" si="4"/>
        <v>0</v>
      </c>
      <c r="AL18" s="902">
        <f t="shared" si="4"/>
        <v>0</v>
      </c>
      <c r="AM18" s="902">
        <f t="shared" si="4"/>
        <v>458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237</v>
      </c>
      <c r="BD18" s="902">
        <f t="shared" si="4"/>
        <v>957</v>
      </c>
      <c r="BE18" s="902">
        <f t="shared" si="4"/>
        <v>0</v>
      </c>
      <c r="BF18" s="902">
        <f t="shared" si="4"/>
        <v>0</v>
      </c>
      <c r="BG18" s="902">
        <f>IF(ISNUMBER(Datos!K18/Datos!J18),Datos!K18/Datos!J18," - ")</f>
        <v>1.0164126611957796</v>
      </c>
      <c r="BH18" s="906">
        <f>IF(ISNUMBER(((Datos!L18/Datos!K18)*11)/factor_trimestre),((Datos!L18/Datos!K18)*11)/factor_trimestre," - ")</f>
        <v>7.1643598615916959</v>
      </c>
      <c r="BI18" s="902">
        <f>SUBTOTAL(9,BI15:BI17)</f>
        <v>0.34124698830581179</v>
      </c>
      <c r="BJ18" s="902">
        <f>SUBTOTAL(9,BJ15:BJ17)</f>
        <v>0</v>
      </c>
      <c r="BK18" s="902">
        <f>SUBTOTAL(9,BK15:BK17)</f>
        <v>0</v>
      </c>
      <c r="BL18" s="902">
        <f>IF(ISNUMBER((I18-AB18+L18)/(F18)),(I18-AB18+L18)/(F18)," - ")</f>
        <v>-0.442911877394636</v>
      </c>
      <c r="BM18" s="908">
        <f>IF(ISNUMBER((Datos!P18-Datos!Q18)/(Datos!R18-Datos!P18+Datos!Q18)),(Datos!P18-Datos!Q18)/(Datos!R18-Datos!P18+Datos!Q18)," - ")</f>
        <v>-0.13092979127134724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4097</v>
      </c>
      <c r="G19" s="823">
        <f t="shared" si="6"/>
        <v>4291</v>
      </c>
      <c r="H19" s="825">
        <f t="shared" si="6"/>
        <v>0</v>
      </c>
      <c r="I19" s="823">
        <f t="shared" si="6"/>
        <v>0</v>
      </c>
      <c r="J19" s="825">
        <f t="shared" si="6"/>
        <v>0</v>
      </c>
      <c r="K19" s="825">
        <f t="shared" si="6"/>
        <v>0</v>
      </c>
      <c r="L19" s="884">
        <f t="shared" si="6"/>
        <v>0</v>
      </c>
      <c r="M19" s="884">
        <f t="shared" si="6"/>
        <v>0</v>
      </c>
      <c r="N19" s="884">
        <f t="shared" si="6"/>
        <v>81</v>
      </c>
      <c r="O19" s="884">
        <f t="shared" si="6"/>
        <v>0</v>
      </c>
      <c r="P19" s="884">
        <f t="shared" si="6"/>
        <v>0</v>
      </c>
      <c r="Q19" s="825">
        <f t="shared" si="6"/>
        <v>538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1763</v>
      </c>
      <c r="AC19" s="824">
        <f t="shared" si="7"/>
        <v>447</v>
      </c>
      <c r="AD19" s="824">
        <f t="shared" si="7"/>
        <v>0</v>
      </c>
      <c r="AE19" s="824">
        <f t="shared" si="7"/>
        <v>0</v>
      </c>
      <c r="AF19" s="831">
        <f t="shared" si="7"/>
        <v>4315</v>
      </c>
      <c r="AG19" s="831">
        <f t="shared" si="7"/>
        <v>0</v>
      </c>
      <c r="AH19" s="831">
        <f t="shared" si="7"/>
        <v>430</v>
      </c>
      <c r="AI19" s="831">
        <f t="shared" si="7"/>
        <v>0</v>
      </c>
      <c r="AJ19" s="824">
        <f t="shared" si="7"/>
        <v>0</v>
      </c>
      <c r="AK19" s="831">
        <f t="shared" si="7"/>
        <v>0</v>
      </c>
      <c r="AL19" s="831">
        <f t="shared" si="7"/>
        <v>0</v>
      </c>
      <c r="AM19" s="831">
        <f t="shared" si="7"/>
        <v>13950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740</v>
      </c>
      <c r="BD19" s="823">
        <f t="shared" si="7"/>
        <v>1748</v>
      </c>
      <c r="BE19" s="823">
        <f t="shared" si="7"/>
        <v>0</v>
      </c>
      <c r="BF19" s="833">
        <f t="shared" si="7"/>
        <v>0</v>
      </c>
      <c r="BG19" s="918">
        <f>IF(ISNUMBER(Datos!K19/Datos!J19),Datos!K19/Datos!J19," - ")</f>
        <v>0.99246609743847314</v>
      </c>
      <c r="BH19" s="918">
        <f>IF(ISNUMBER(((Datos!L19/Datos!K19)*11)/factor_trimestre),((Datos!L19/Datos!K19)*11)/factor_trimestre," - ")</f>
        <v>11.196862348178138</v>
      </c>
      <c r="BI19" s="816">
        <f>IF(ISNUMBER(Datos!J19/Datos!I19),Datos!J19/Datos!I19," - ")</f>
        <v>0.27162346521145975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-0.43031486453502565</v>
      </c>
      <c r="BM19" s="892">
        <f>IF(ISNUMBER((Datos!P19-Datos!Q19+R19)/(Datos!R19-Datos!P19+Datos!Q19-R19)),(Datos!P19-Datos!Q19+R19)/(Datos!R19-Datos!P19+Datos!Q19-R19)," - ")</f>
        <v>6.5661303124323542E-3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1716.4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2155.2485548848731</v>
      </c>
      <c r="G21" s="555">
        <f>IF(ISNUMBER(STDEV(G8:G18)),STDEV(G8:G18),"-")</f>
        <v>2070.3577710144687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858.78996268004903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212.93441869896625</v>
      </c>
      <c r="BD21" s="554"/>
      <c r="BE21" s="554">
        <f>IF(ISNUMBER(STDEV(BE8:BE18)),STDEV(BE8:BE18),"-")</f>
        <v>0</v>
      </c>
      <c r="BF21" s="559">
        <f>IF(ISNUMBER(STDEV(BF8:BF18)),STDEV(BF8:BF18),"-")</f>
        <v>0</v>
      </c>
      <c r="BG21" s="778">
        <f>IF(ISNUMBER(STDEV(BG8:BG18)),STDEV(BG8:BG18),"-")</f>
        <v>0.16156160692986898</v>
      </c>
      <c r="BH21" s="779">
        <f>IF(ISNUMBER(STDEV(BH8:BH18)),STDEV(BH8:BH18),"-")</f>
        <v>5.2988314268720629</v>
      </c>
      <c r="BI21" s="252">
        <f>IF(ISNUMBER(STDEV(BI8:BI18)),STDEV(BI8:BI18),"-")</f>
        <v>8.8236068922323677E-2</v>
      </c>
      <c r="BJ21" s="233" t="str">
        <f>IF(ISNUMBER(BL21/BM21),BL21/BM21," - ")</f>
        <v xml:space="preserve"> - </v>
      </c>
      <c r="BK21" s="578"/>
      <c r="BL21" s="562">
        <f>IF(ISNUMBER(STDEV(BL8:BL18)),STDEV(BL8:BL18),"-")</f>
        <v>0.20051513123529607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hxMy62z/UVYRrXBjUmN8iKlv4ZMrczg0F1wVh1Fv2e21t8AkKv2UxUbD9mF9wB4JgghQsCaMxov4pjhIHo/xw==" saltValue="ZN4/N4KBpnLMQkVIXLnq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MOLINA DE SEGURA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182</v>
      </c>
      <c r="G10" s="228">
        <f>IF(ISNUMBER(Datos!I10),Datos!I10," - ")</f>
        <v>182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29</v>
      </c>
      <c r="Z10" s="622">
        <f>IF(ISNUMBER(Datos!Q10),Datos!Q10," - ")</f>
        <v>0</v>
      </c>
      <c r="AA10" s="335">
        <f>IF(ISNUMBER(Datos!L10),Datos!L10,"-")</f>
        <v>174</v>
      </c>
      <c r="AB10" s="337"/>
      <c r="AC10" s="337"/>
      <c r="AD10" s="487"/>
      <c r="AE10" s="487">
        <f>IF(ISNUMBER(Datos!R10),Datos!R10," - ")</f>
        <v>34</v>
      </c>
      <c r="AF10" s="232" t="str">
        <f>IF(ISNUMBER(Datos!BV10),Datos!BV10," - ")</f>
        <v xml:space="preserve"> - </v>
      </c>
      <c r="AG10" s="228" t="str">
        <f>IF(ISNUMBER(Datos!DV10),Datos!DV10," - ")</f>
        <v xml:space="preserve"> - </v>
      </c>
      <c r="AH10" s="301"/>
      <c r="AI10" s="230"/>
      <c r="AJ10" s="228">
        <f>IF(ISNUMBER(Datos!M10),Datos!M10," - ")</f>
        <v>11</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0.17241379310344829</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485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330</v>
      </c>
      <c r="AA12" s="335" t="str">
        <f>IF(ISNUMBER(IF(J_V="SI",Datos!L12,Datos!L12+Datos!AB12)-IF(Monitorios="SI",Datos!CD12,0)),
                          IF(J_V="SI",Datos!L12,Datos!L12+Datos!AB12)-IF(Monitorios="SI",Datos!CD12,0),
                          " - ")</f>
        <v xml:space="preserve"> - </v>
      </c>
      <c r="AB12" s="337"/>
      <c r="AC12" s="337"/>
      <c r="AD12" s="487"/>
      <c r="AE12" s="487">
        <f>IF(ISNUMBER(Datos!R12),Datos!R12," - ")</f>
        <v>13458</v>
      </c>
      <c r="AF12" s="232" t="str">
        <f>IF(ISNUMBER(Datos!BV12),Datos!BV12," - ")</f>
        <v xml:space="preserve"> - </v>
      </c>
      <c r="AG12" s="228" t="str">
        <f>IF(ISNUMBER(Datos!DV12),Datos!DV12," - ")</f>
        <v xml:space="preserve"> - </v>
      </c>
      <c r="AH12" s="301"/>
      <c r="AI12" s="230"/>
      <c r="AJ12" s="228">
        <f>IF(ISNUMBER(Datos!M12),Datos!M12," - ")</f>
        <v>492</v>
      </c>
      <c r="AK12" s="232">
        <f>IF(ISNUMBER(Datos!N12),Datos!N12," - ")</f>
        <v>787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13.846644010195412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1.1651507178831842E-2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182</v>
      </c>
      <c r="G13" s="901">
        <f>SUBTOTAL(9,G8:G12)</f>
        <v>182</v>
      </c>
      <c r="H13" s="911"/>
      <c r="I13" s="901">
        <f t="shared" ref="I13:N13" si="0">SUBTOTAL(9,I8:I12)</f>
        <v>0</v>
      </c>
      <c r="J13" s="870">
        <f t="shared" si="0"/>
        <v>0</v>
      </c>
      <c r="K13" s="911">
        <f t="shared" si="0"/>
        <v>0</v>
      </c>
      <c r="L13" s="911">
        <f t="shared" si="0"/>
        <v>0</v>
      </c>
      <c r="M13" s="911">
        <f t="shared" si="0"/>
        <v>0</v>
      </c>
      <c r="N13" s="911">
        <f t="shared" si="0"/>
        <v>490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29</v>
      </c>
      <c r="Z13" s="910">
        <f t="shared" si="2"/>
        <v>330</v>
      </c>
      <c r="AA13" s="903">
        <f t="shared" si="2"/>
        <v>174</v>
      </c>
      <c r="AB13" s="903">
        <f t="shared" si="2"/>
        <v>0</v>
      </c>
      <c r="AC13" s="903">
        <f t="shared" si="2"/>
        <v>0</v>
      </c>
      <c r="AD13" s="903">
        <f t="shared" si="2"/>
        <v>0</v>
      </c>
      <c r="AE13" s="903">
        <f t="shared" si="2"/>
        <v>13492</v>
      </c>
      <c r="AF13" s="911">
        <f t="shared" si="2"/>
        <v>0</v>
      </c>
      <c r="AG13" s="911">
        <f t="shared" si="2"/>
        <v>0</v>
      </c>
      <c r="AH13" s="911">
        <f t="shared" si="2"/>
        <v>0</v>
      </c>
      <c r="AI13" s="911">
        <f t="shared" si="2"/>
        <v>0</v>
      </c>
      <c r="AJ13" s="911">
        <f t="shared" si="2"/>
        <v>503</v>
      </c>
      <c r="AK13" s="911">
        <f t="shared" si="2"/>
        <v>791</v>
      </c>
      <c r="AL13" s="911">
        <f t="shared" si="2"/>
        <v>0</v>
      </c>
      <c r="AM13" s="911">
        <f t="shared" si="2"/>
        <v>0</v>
      </c>
      <c r="AN13" s="911">
        <f t="shared" si="2"/>
        <v>0</v>
      </c>
      <c r="AO13" s="907">
        <f>IF(ISNUMBER(((NºAsuntos!I13/NºAsuntos!G13)*11)/factor_trimestre),((NºAsuntos!I13/NºAsuntos!G13)*11)/factor_trimestre," - ")</f>
        <v>13.897188417960555</v>
      </c>
      <c r="AP13" s="913" t="str">
        <f>IF(ISNUMBER(Datos!CI13/Datos!CJ13),Datos!CI13/Datos!CJ13," - ")</f>
        <v xml:space="preserve"> - </v>
      </c>
      <c r="AQ13" s="931">
        <f t="shared" ref="AQ13:AV13" si="3">SUBTOTAL(9,AQ9:AQ12)</f>
        <v>0</v>
      </c>
      <c r="AR13" s="931">
        <f t="shared" si="3"/>
        <v>0.18406530028228013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3915</v>
      </c>
      <c r="G16" s="228">
        <f>IF(ISNUMBER(IF(D_I="SI",Datos!I16,Datos!I16+Datos!AC16)),IF(D_I="SI",Datos!I16,Datos!I16+Datos!AC16)," - ")</f>
        <v>3855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1547</v>
      </c>
      <c r="Z16" s="622">
        <f>IF(ISNUMBER(Datos!Q16),Datos!Q16," - ")</f>
        <v>115</v>
      </c>
      <c r="AA16" s="335">
        <f>IF(ISNUMBER(IF(D_I="SI",Datos!L16,Datos!L16+Datos!AF16)),IF(D_I="SI",Datos!L16,Datos!L16+Datos!AF16)," - ")</f>
        <v>3875</v>
      </c>
      <c r="AB16" s="337"/>
      <c r="AC16" s="337"/>
      <c r="AD16" s="487"/>
      <c r="AE16" s="487">
        <f>IF(ISNUMBER(Datos!R16),Datos!R16," - ")</f>
        <v>431</v>
      </c>
      <c r="AF16" s="232" t="str">
        <f>IF(ISNUMBER(Datos!BV16),Datos!BV16," - ")</f>
        <v xml:space="preserve"> - </v>
      </c>
      <c r="AG16" s="228"/>
      <c r="AH16" s="301"/>
      <c r="AI16" s="230"/>
      <c r="AJ16" s="228">
        <f>IF(ISNUMBER(Datos!M16),Datos!M16," - ")</f>
        <v>197</v>
      </c>
      <c r="AK16" s="232">
        <f>IF(ISNUMBER(Datos!N16),Datos!N16," - ")</f>
        <v>837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7.5145442792501616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187</v>
      </c>
      <c r="Z17" s="622">
        <f>IF(ISNUMBER(Datos!Q17),Datos!Q17," - ")</f>
        <v>2</v>
      </c>
      <c r="AA17" s="335">
        <f>IF(ISNUMBER(Datos!L17),Datos!L17,"-")</f>
        <v>266</v>
      </c>
      <c r="AB17" s="337"/>
      <c r="AC17" s="337"/>
      <c r="AD17" s="487"/>
      <c r="AE17" s="487">
        <f>IF(ISNUMBER(Datos!R17),Datos!R17," - ")</f>
        <v>27</v>
      </c>
      <c r="AF17" s="232" t="str">
        <f>IF(ISNUMBER(Datos!BV17),Datos!BV17," - ")</f>
        <v xml:space="preserve"> - </v>
      </c>
      <c r="AG17" s="228" t="str">
        <f>IF(ISNUMBER(Datos!DV17),Datos!DV17," - ")</f>
        <v xml:space="preserve"> - </v>
      </c>
      <c r="AH17" s="301"/>
      <c r="AI17" s="230"/>
      <c r="AJ17" s="228">
        <f>IF(ISNUMBER(Datos!M17),Datos!M17," - ")</f>
        <v>40</v>
      </c>
      <c r="AK17" s="232">
        <f>IF(ISNUMBER(Datos!N17),Datos!N17," - ")</f>
        <v>120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4.2673796791443852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3915</v>
      </c>
      <c r="G18" s="901">
        <f>SUBTOTAL(9,G15:G17)</f>
        <v>4109</v>
      </c>
      <c r="H18" s="935">
        <f>SUBTOTAL(9,H15:H17)</f>
        <v>0</v>
      </c>
      <c r="I18" s="914">
        <f>SUBTOTAL(9,I15:I17)</f>
        <v>0</v>
      </c>
      <c r="J18" s="870">
        <f>SUBTOTAL(9,J14:J17)</f>
        <v>0</v>
      </c>
      <c r="K18" s="935">
        <f t="shared" ref="K18:S18" si="4">SUBTOTAL(9,K15:K17)</f>
        <v>0</v>
      </c>
      <c r="L18" s="935">
        <f t="shared" si="4"/>
        <v>0</v>
      </c>
      <c r="M18" s="935">
        <f t="shared" si="4"/>
        <v>0</v>
      </c>
      <c r="N18" s="935">
        <f t="shared" si="4"/>
        <v>48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1734</v>
      </c>
      <c r="Z18" s="935">
        <f t="shared" si="5"/>
        <v>117</v>
      </c>
      <c r="AA18" s="935">
        <f t="shared" si="5"/>
        <v>4141</v>
      </c>
      <c r="AB18" s="935">
        <f t="shared" si="5"/>
        <v>0</v>
      </c>
      <c r="AC18" s="935">
        <f t="shared" si="5"/>
        <v>0</v>
      </c>
      <c r="AD18" s="935">
        <f t="shared" si="5"/>
        <v>0</v>
      </c>
      <c r="AE18" s="935">
        <f t="shared" si="5"/>
        <v>458</v>
      </c>
      <c r="AF18" s="935">
        <f t="shared" si="5"/>
        <v>0</v>
      </c>
      <c r="AG18" s="935">
        <f t="shared" si="5"/>
        <v>0</v>
      </c>
      <c r="AH18" s="935">
        <f t="shared" si="5"/>
        <v>0</v>
      </c>
      <c r="AI18" s="935">
        <f t="shared" si="5"/>
        <v>0</v>
      </c>
      <c r="AJ18" s="935">
        <f t="shared" si="5"/>
        <v>237</v>
      </c>
      <c r="AK18" s="935">
        <f t="shared" si="5"/>
        <v>957</v>
      </c>
      <c r="AL18" s="935">
        <f t="shared" si="5"/>
        <v>0</v>
      </c>
      <c r="AM18" s="935">
        <f t="shared" si="5"/>
        <v>0</v>
      </c>
      <c r="AN18" s="935">
        <f t="shared" si="5"/>
        <v>0</v>
      </c>
      <c r="AO18" s="937">
        <f>IF(ISNUMBER(((NºAsuntos!I18/NºAsuntos!G18)*11)/factor_trimestre),((NºAsuntos!I18/NºAsuntos!G18)*11)/factor_trimestre," - ")</f>
        <v>7.1643598615916959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4097</v>
      </c>
      <c r="G19" s="823">
        <f t="shared" si="7"/>
        <v>4291</v>
      </c>
      <c r="H19" s="824">
        <f t="shared" si="7"/>
        <v>0</v>
      </c>
      <c r="I19" s="823">
        <f t="shared" si="7"/>
        <v>0</v>
      </c>
      <c r="J19" s="825">
        <f t="shared" si="7"/>
        <v>0</v>
      </c>
      <c r="K19" s="823">
        <f t="shared" si="7"/>
        <v>0</v>
      </c>
      <c r="L19" s="826">
        <f t="shared" si="7"/>
        <v>0</v>
      </c>
      <c r="M19" s="823">
        <f t="shared" si="7"/>
        <v>0</v>
      </c>
      <c r="N19" s="824">
        <f t="shared" si="7"/>
        <v>538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1763</v>
      </c>
      <c r="Z19" s="830">
        <f t="shared" si="8"/>
        <v>447</v>
      </c>
      <c r="AA19" s="831">
        <f t="shared" si="8"/>
        <v>4315</v>
      </c>
      <c r="AB19" s="831">
        <f t="shared" si="8"/>
        <v>0</v>
      </c>
      <c r="AC19" s="831">
        <f t="shared" si="8"/>
        <v>0</v>
      </c>
      <c r="AD19" s="832">
        <f t="shared" si="8"/>
        <v>0</v>
      </c>
      <c r="AE19" s="832">
        <f t="shared" si="8"/>
        <v>13950</v>
      </c>
      <c r="AF19" s="833">
        <f t="shared" si="8"/>
        <v>0</v>
      </c>
      <c r="AG19" s="834">
        <f t="shared" si="8"/>
        <v>0</v>
      </c>
      <c r="AH19" s="835">
        <f t="shared" si="8"/>
        <v>0</v>
      </c>
      <c r="AI19" s="833">
        <f t="shared" si="8"/>
        <v>0</v>
      </c>
      <c r="AJ19" s="823">
        <f t="shared" si="8"/>
        <v>740</v>
      </c>
      <c r="AK19" s="823">
        <f t="shared" si="8"/>
        <v>1748</v>
      </c>
      <c r="AL19" s="823">
        <f t="shared" si="8"/>
        <v>0</v>
      </c>
      <c r="AM19" s="836">
        <f t="shared" si="8"/>
        <v>0</v>
      </c>
      <c r="AN19" s="826">
        <f>IF(ISNUMBER(Datos!K19/Datos!J19),Datos!K19/Datos!J19," - ")</f>
        <v>0.99246609743847314</v>
      </c>
      <c r="AO19" s="826">
        <f>IF(ISNUMBER(FIND("06",Criterios!A8,1)),(IF(ISNUMBER(((Datos!R19/Datos!Q19)*11)/factor_trimestre),((Datos!R19/Datos!Q19)*11)/factor_trimestre," - ")),(IF(ISNUMBER(((Datos!L19/Datos!K19)*11)/factor_trimestre),((Datos!L19/Datos!K19)*11)/factor_trimestre," - ")))</f>
        <v>11.196862348178138</v>
      </c>
      <c r="AP19" s="837" t="str">
        <f>IF(ISNUMBER(Datos!CI19/Datos!CJ19),Datos!CI19/Datos!CJ19," - ")</f>
        <v xml:space="preserve"> - </v>
      </c>
      <c r="AQ19" s="837">
        <f>IF(OR(ISNUMBER(FIND("01",Criterios!A8,1)),ISNUMBER(FIND("02",Criterios!A8,1)),ISNUMBER(FIND("03",Criterios!A8,1)),ISNUMBER(FIND("04",Criterios!A8,1))),(J19-Y19+K19)/(F19-K19),(I19-Y19+K19)/(F19-K19))</f>
        <v>-0.43031486453502565</v>
      </c>
      <c r="AR19" s="837">
        <f>IF(ISNUMBER((Datos!P19-Datos!Q19+O19)/(Datos!R19-Datos!P19+Datos!Q19-O19)),(Datos!P19-Datos!Q19+O19)/(Datos!R19-Datos!P19+Datos!Q19-O19)," - ")</f>
        <v>6.5661303124323542E-3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1716.4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2155.2485548848731</v>
      </c>
      <c r="G21" s="555">
        <f>IF(ISNUMBER(STDEV(G8:G18)),STDEV(G8:G18),"-")</f>
        <v>2070.3577710144687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212.93441869896625</v>
      </c>
      <c r="AK21" s="255"/>
      <c r="AL21" s="255">
        <f>IF(ISNUMBER(STDEV(AL8:AL18)),STDEV(AL8:AL18),"-")</f>
        <v>0</v>
      </c>
      <c r="AM21" s="257">
        <f>IF(ISNUMBER(STDEV(AM8:AM18)),STDEV(AM8:AM18),"-")</f>
        <v>0</v>
      </c>
      <c r="AN21" s="542">
        <f>IF(ISNUMBER(STDEV(AN8:AN18)),STDEV(AN8:AN18),"-")</f>
        <v>0</v>
      </c>
      <c r="AO21" s="543">
        <f>IF(ISNUMBER(STDEV(AO8:AO18)),STDEV(AO8:AO18),"-")</f>
        <v>5.2421337293165413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pjS1Qk7pk9UznWADXckCsZ7ojw9HvLcxAfqealfHy/F0CMBpcrVD+8r98VO3v3ctiOga7GqECEW+02iaG6WHZw==" saltValue="Mts4ZxN4vXChVuzsMTdq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DHtia4CjWUYeDGO1iSXdHC/uHoSznkxS/9DxDEAqci7yv4gvg6HgLh6ZPf7TJI61Z5uw7O6VpK+wQWK72oZbA==" saltValue="XcuDZnOs0yJKa2wzSLM2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u/uNvOdvMCTQoyDetFmgfDKMf1NBfz5H6CGh0RSaEhWNMAPgufNW7SwxxhN6KBamCsEHs1dwiLSkUeZeMVN/w==" saltValue="8ttf0x9DBIY+Hu0X1EvC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MOLINA DE SEGURA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0.21107847251363826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0.14925501927689189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lTPDJ1va22Ahv3XhpLAil8PhS/a96a1tYfzjrlMFDQ7RuUMnks05o//qyXfeSfoPm2tSfvqlpzos8xO7kTCXw==" saltValue="KISWizDxktSX9srixK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nXnnvgUXcf7Iui9zywvBwH6YaeIJ6G8FfKo8r1T0JnL7kDuBURa+aWsYoUo5xf5SDEyV3h1TMxf5AgyMRYQycQ==" saltValue="2Mt5tGMgrOXFmMs6Jh0J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MOLINA DE SEGURA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182</v>
      </c>
      <c r="D10" s="407">
        <f>IF(ISNUMBER(C10/Datos!BH10),C10/Datos!BH10," - ")</f>
        <v>182</v>
      </c>
      <c r="E10" s="406">
        <f>IF(ISNUMBER(Datos!J10),Datos!J10," - ")</f>
        <v>21</v>
      </c>
      <c r="F10" s="407">
        <f>IF(ISNUMBER(E10/B10),E10/B10," - ")</f>
        <v>21</v>
      </c>
      <c r="G10" s="406">
        <f>IF(ISNUMBER(Datos!K10),Datos!K10," - ")</f>
        <v>29</v>
      </c>
      <c r="H10" s="407">
        <f>IF(ISNUMBER(G10/B10),G10/B10," - ")</f>
        <v>29</v>
      </c>
      <c r="I10" s="406">
        <f>IF(ISNUMBER(Datos!L10),Datos!L10," - ")</f>
        <v>174</v>
      </c>
      <c r="J10" s="407">
        <f>IF(ISNUMBER(I10/B10),I10/B10," - ")</f>
        <v>174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10937</v>
      </c>
      <c r="D12" s="407">
        <f>IF(ISNUMBER(C12/Datos!BH12),C12/Datos!BH12," - ")</f>
        <v>1562.4285714285713</v>
      </c>
      <c r="E12" s="406">
        <f>IF(ISNUMBER(IF(J_V="SI",Datos!J12,Datos!J12+Datos!Z12)),IF(J_V="SI",Datos!J12,Datos!J12+Datos!Z12)," - ")</f>
        <v>2336</v>
      </c>
      <c r="F12" s="407">
        <f>IF(ISNUMBER(E12/B12),E12/B12," - ")</f>
        <v>333.71428571428572</v>
      </c>
      <c r="G12" s="406">
        <f>IF(ISNUMBER(IF(J_V="SI",Datos!K12,Datos!K12+Datos!AA12)),IF(J_V="SI",Datos!K12,Datos!K12+Datos!AA12)," - ")</f>
        <v>2354</v>
      </c>
      <c r="H12" s="407">
        <f>IF(ISNUMBER(G12/B12),G12/B12," - ")</f>
        <v>336.28571428571428</v>
      </c>
      <c r="I12" s="406">
        <f>IF(ISNUMBER(IF(J_V="SI",Datos!L12,Datos!L12+Datos!AB12)),IF(J_V="SI",Datos!L12,Datos!L12+Datos!AB12)," - ")</f>
        <v>10865</v>
      </c>
      <c r="J12" s="407">
        <f>IF(ISNUMBER(I12/B12),I12/B12," - ")</f>
        <v>1552.1428571428571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11119</v>
      </c>
      <c r="D13" s="853" t="str">
        <f>IF(ISNUMBER(C13/Datos!BI13),C13/Datos!BI13," - ")</f>
        <v xml:space="preserve"> - </v>
      </c>
      <c r="E13" s="852">
        <f>SUBTOTAL(9,E8:E12)</f>
        <v>2357</v>
      </c>
      <c r="F13" s="853">
        <f>IF(ISNUMBER(E13/B13),E13/B13," - ")</f>
        <v>336.71428571428572</v>
      </c>
      <c r="G13" s="852">
        <f>SUBTOTAL(9,G8:G12)</f>
        <v>2383</v>
      </c>
      <c r="H13" s="853">
        <f>IF(ISNUMBER(G13/B13),G13/B13," - ")</f>
        <v>340.42857142857144</v>
      </c>
      <c r="I13" s="852">
        <f>SUBTOTAL(9,I8:I12)</f>
        <v>11039</v>
      </c>
      <c r="J13" s="853">
        <f>IF(ISNUMBER(I13/B13),I13/B13," - ")</f>
        <v>1577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3855</v>
      </c>
      <c r="D16" s="407">
        <f>IF(ISNUMBER(C16/Datos!BH16),C16/Datos!BH16," - ")</f>
        <v>550.71428571428567</v>
      </c>
      <c r="E16" s="406">
        <f>IF(ISNUMBER(IF(D_I="SI",Datos!J16,Datos!J16+Datos!AD16)),IF(D_I="SI",Datos!J16,Datos!J16+Datos!AD16)," - ")</f>
        <v>1507</v>
      </c>
      <c r="F16" s="407">
        <f>IF(ISNUMBER(E16/B16),E16/B16," - ")</f>
        <v>215.28571428571428</v>
      </c>
      <c r="G16" s="406">
        <f>IF(ISNUMBER(IF(D_I="SI",Datos!K16,Datos!K16+Datos!AE16)),IF(D_I="SI",Datos!K16,Datos!K16+Datos!AE16)," - ")</f>
        <v>1547</v>
      </c>
      <c r="H16" s="407">
        <f>IF(ISNUMBER(G16/B16),G16/B16," - ")</f>
        <v>221</v>
      </c>
      <c r="I16" s="406">
        <f>IF(ISNUMBER(IF(D_I="SI",Datos!L16,Datos!L16+Datos!AF16)),IF(D_I="SI",Datos!L16,Datos!L16+Datos!AF16)," - ")</f>
        <v>3875</v>
      </c>
      <c r="J16" s="407">
        <f>IF(ISNUMBER(I16/B16),I16/B16," - ")</f>
        <v>553.57142857142856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254</v>
      </c>
      <c r="D17" s="407">
        <f>IF(ISNUMBER(C17/Datos!BH17),C17/Datos!BH17," - ")</f>
        <v>254</v>
      </c>
      <c r="E17" s="406">
        <f>IF(ISNUMBER(IF(D_I="SI",Datos!J17,Datos!J17+Datos!AD17)),IF(D_I="SI",Datos!J17,Datos!J17+Datos!AD17)," - ")</f>
        <v>199</v>
      </c>
      <c r="F17" s="407">
        <f>IF(ISNUMBER(E17/B17),E17/B17," - ")</f>
        <v>199</v>
      </c>
      <c r="G17" s="406">
        <f>IF(ISNUMBER(IF(D_I="SI",Datos!K17,Datos!K17+Datos!AE17)),IF(D_I="SI",Datos!K17,Datos!K17+Datos!AE17)," - ")</f>
        <v>187</v>
      </c>
      <c r="H17" s="407">
        <f>IF(ISNUMBER(G17/B17),G17/B17," - ")</f>
        <v>187</v>
      </c>
      <c r="I17" s="406">
        <f>IF(ISNUMBER(IF(D_I="SI",Datos!L17,Datos!L17+Datos!AF17)),IF(D_I="SI",Datos!L17,Datos!L17+Datos!AF17)," - ")</f>
        <v>266</v>
      </c>
      <c r="J17" s="407">
        <f>IF(ISNUMBER(I17/B17),I17/B17," - ")</f>
        <v>266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4109</v>
      </c>
      <c r="D18" s="853" t="str">
        <f>IF(ISNUMBER(C18/Datos!BI18),C18/Datos!BI18," - ")</f>
        <v xml:space="preserve"> - </v>
      </c>
      <c r="E18" s="852">
        <f>SUBTOTAL(9,E14:E17)</f>
        <v>1706</v>
      </c>
      <c r="F18" s="853">
        <f>IF(ISNUMBER(E18/B18),E18/B18," - ")</f>
        <v>243.71428571428572</v>
      </c>
      <c r="G18" s="852">
        <f>SUBTOTAL(9,G14:G17)</f>
        <v>1734</v>
      </c>
      <c r="H18" s="853">
        <f>IF(ISNUMBER(G18/B18),G18/B18," - ")</f>
        <v>247.71428571428572</v>
      </c>
      <c r="I18" s="852">
        <f>SUBTOTAL(9,I14:I17)</f>
        <v>4141</v>
      </c>
      <c r="J18" s="853">
        <f>IF(ISNUMBER(I18/B18),I18/B18," - ")</f>
        <v>591.57142857142856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15228</v>
      </c>
      <c r="D19" s="798" t="str">
        <f>IF(ISNUMBER(C19/Datos!BI19),C19/Datos!BI19," - ")</f>
        <v xml:space="preserve"> - </v>
      </c>
      <c r="E19" s="797">
        <f>SUBTOTAL(9,E9:E18)</f>
        <v>4063</v>
      </c>
      <c r="F19" s="798">
        <f>IF(ISNUMBER(E19/B19),E19/B19," - ")</f>
        <v>580.42857142857144</v>
      </c>
      <c r="G19" s="797">
        <f>SUBTOTAL(9,G9:G18)</f>
        <v>4117</v>
      </c>
      <c r="H19" s="798">
        <f>IF(ISNUMBER(G19/B19),G19/B19," - ")</f>
        <v>588.14285714285711</v>
      </c>
      <c r="I19" s="797">
        <f>SUBTOTAL(9,I9:I18)</f>
        <v>15180</v>
      </c>
      <c r="J19" s="798">
        <f>IF(ISNUMBER(I19/B19),I19/B19," - ")</f>
        <v>2168.5714285714284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3mlukEIHK9AbNz21kPLrYrFhjD/7V08shmH7Pc3cHz5peUiy+TVyLy6bsXvZr+mWzROzoL5njJRU5FN+AiB5g==" saltValue="2CihFFmDx5DWUNTGtamH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MOLINA DE SEGURA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182</v>
      </c>
      <c r="G10" s="687">
        <f>IF(ISNUMBER(Datos!I10),Datos!I10," - ")</f>
        <v>182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29</v>
      </c>
      <c r="AC10" s="686" t="str">
        <f>IF(ISNUMBER(IF(D_I="SI",DatosP!K17,DatosP!K17+DatosP!AE17)),IF(D_I="SI",DatosP!K17,DatosP!K17+DatosP!AE17)," - ")</f>
        <v xml:space="preserve"> - </v>
      </c>
      <c r="AD10" s="688"/>
      <c r="AE10" s="688"/>
      <c r="AF10" s="691">
        <f>IF(ISNUMBER(Datos!L10),Datos!L10,"-")</f>
        <v>174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485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13458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492</v>
      </c>
      <c r="AM12" s="693">
        <f>IF(ISNUMBER(Datos!N12+DatosP!N16),Datos!N12+DatosP!N16," - ")</f>
        <v>787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13.846644010195412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1.1651507178831842E-2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182</v>
      </c>
      <c r="G13" s="941">
        <f t="shared" si="0"/>
        <v>182</v>
      </c>
      <c r="H13" s="941">
        <f t="shared" si="0"/>
        <v>0</v>
      </c>
      <c r="I13" s="943">
        <f t="shared" si="0"/>
        <v>0</v>
      </c>
      <c r="J13" s="942">
        <f t="shared" si="0"/>
        <v>0</v>
      </c>
      <c r="K13" s="942">
        <f t="shared" si="0"/>
        <v>0</v>
      </c>
      <c r="L13" s="944">
        <f t="shared" si="0"/>
        <v>0</v>
      </c>
      <c r="M13" s="944">
        <f t="shared" si="0"/>
        <v>0</v>
      </c>
      <c r="N13" s="942">
        <f t="shared" si="0"/>
        <v>490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29</v>
      </c>
      <c r="AC13" s="942">
        <f t="shared" si="1"/>
        <v>0</v>
      </c>
      <c r="AD13" s="942">
        <f t="shared" si="1"/>
        <v>330</v>
      </c>
      <c r="AE13" s="942">
        <f t="shared" si="1"/>
        <v>0</v>
      </c>
      <c r="AF13" s="942">
        <f t="shared" si="1"/>
        <v>174</v>
      </c>
      <c r="AG13" s="942">
        <f t="shared" si="1"/>
        <v>0</v>
      </c>
      <c r="AH13" s="942">
        <f t="shared" si="1"/>
        <v>13458</v>
      </c>
      <c r="AI13" s="942">
        <f t="shared" si="1"/>
        <v>0</v>
      </c>
      <c r="AJ13" s="942">
        <f t="shared" si="1"/>
        <v>0</v>
      </c>
      <c r="AK13" s="942">
        <f t="shared" si="1"/>
        <v>0</v>
      </c>
      <c r="AL13" s="942">
        <f t="shared" si="1"/>
        <v>503</v>
      </c>
      <c r="AM13" s="942">
        <f t="shared" si="1"/>
        <v>791</v>
      </c>
      <c r="AN13" s="942">
        <f t="shared" si="1"/>
        <v>0</v>
      </c>
      <c r="AO13" s="942">
        <f t="shared" si="1"/>
        <v>0</v>
      </c>
      <c r="AP13" s="947">
        <f>IF(ISNUMBER(((Datos!L13/Datos!K13)*11)/factor_trimestre),((Datos!L13/Datos!K13)*11)/factor_trimestre," - ")</f>
        <v>14.349413886384129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-0.15934065934065933</v>
      </c>
      <c r="AU13" s="942" t="str">
        <f>IF(ISNUMBER((DatosP!#REF!-DatosP!#REF!+DatosP!#REF!)/(DatosP!#REF!+DatosP!#REF!-DatosP!#REF!-DatosP!#REF!)),(DatosP!#REF!-DatosP!#REF!+DatosP!#REF!)/(DatosP!#REF!+DatosP!#REF!-DatosP!#REF!-DatosP!#REF!)," - ")</f>
        <v xml:space="preserve"> - </v>
      </c>
      <c r="AV13" s="948">
        <f>SUBTOTAL(9,AV9:AV12)</f>
        <v>1.1651507178831842E-2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7.1643598615916959</v>
      </c>
      <c r="AQ18" s="947">
        <f>IF(ISNUMBER(((Datos!M18/Datos!L18)*11)/factor_trimestre),((Datos!M18/Datos!L18)*11)/factor_trimestre," - ")</f>
        <v>0.17169765757063513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-0.13092979127134724</v>
      </c>
      <c r="AW18" s="949">
        <f>IF(ISNUMBER((Datos!Q18-Datos!R18)/(Datos!S18-Datos!Q18+Datos!R18)),(Datos!Q18-Datos!R18)/(Datos!S18-Datos!Q18+Datos!R18)," - ")</f>
        <v>-7.6167076167076173E-2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182</v>
      </c>
      <c r="G19" s="954">
        <f t="shared" si="4"/>
        <v>182</v>
      </c>
      <c r="H19" s="954">
        <f t="shared" si="4"/>
        <v>0</v>
      </c>
      <c r="I19" s="955">
        <f t="shared" si="4"/>
        <v>0</v>
      </c>
      <c r="J19" s="956">
        <f t="shared" si="4"/>
        <v>0</v>
      </c>
      <c r="K19" s="956">
        <f t="shared" si="4"/>
        <v>0</v>
      </c>
      <c r="L19" s="956">
        <f t="shared" si="4"/>
        <v>0</v>
      </c>
      <c r="M19" s="956">
        <f t="shared" si="4"/>
        <v>0</v>
      </c>
      <c r="N19" s="955">
        <f t="shared" si="4"/>
        <v>490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29</v>
      </c>
      <c r="AC19" s="960">
        <f t="shared" si="5"/>
        <v>0</v>
      </c>
      <c r="AD19" s="960">
        <f t="shared" si="5"/>
        <v>330</v>
      </c>
      <c r="AE19" s="960">
        <f t="shared" si="5"/>
        <v>0</v>
      </c>
      <c r="AF19" s="961">
        <f t="shared" si="5"/>
        <v>174</v>
      </c>
      <c r="AG19" s="961">
        <f t="shared" si="5"/>
        <v>0</v>
      </c>
      <c r="AH19" s="961">
        <f t="shared" si="5"/>
        <v>13458</v>
      </c>
      <c r="AI19" s="961">
        <f t="shared" si="5"/>
        <v>0</v>
      </c>
      <c r="AJ19" s="962">
        <f t="shared" si="5"/>
        <v>0</v>
      </c>
      <c r="AK19" s="962">
        <f t="shared" si="5"/>
        <v>0</v>
      </c>
      <c r="AL19" s="954">
        <f t="shared" si="5"/>
        <v>503</v>
      </c>
      <c r="AM19" s="954">
        <f t="shared" si="5"/>
        <v>791</v>
      </c>
      <c r="AN19" s="954">
        <f t="shared" si="5"/>
        <v>0</v>
      </c>
      <c r="AO19" s="954">
        <f t="shared" si="5"/>
        <v>0</v>
      </c>
      <c r="AP19" s="954">
        <f>IF(ISNUMBER(((Datos!L19/Datos!K19)*11)/factor_trimestre),((Datos!L19/Datos!K19)*11)/factor_trimestre," - ")</f>
        <v>11.196862348178138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-0.15934065934065933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6.5661303124323542E-3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121.33333333333333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105.07774899251189</v>
      </c>
      <c r="G21" s="740">
        <f>IF(ISNUMBER(STDEV(G8:G18)),STDEV(G8:G18),"-")</f>
        <v>105.07774899251189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16.743157806499148</v>
      </c>
      <c r="AC21" s="741">
        <f>IF(ISNUMBER(STDEV(AC8:AC18)),STDEV(AC8:AC18),"-")</f>
        <v>0</v>
      </c>
      <c r="AD21" s="744"/>
      <c r="AE21" s="744"/>
      <c r="AF21" s="744"/>
      <c r="AG21" s="744"/>
      <c r="AH21" s="744"/>
      <c r="AI21" s="744"/>
      <c r="AJ21" s="745">
        <f>IF(ISNUMBER(STDEV(AJ8:AJ18)),STDEV(AJ8:AJ18),"-")</f>
        <v>0</v>
      </c>
      <c r="AK21" s="747"/>
      <c r="AL21" s="739">
        <f>IF(ISNUMBER(STDEV(AL8:AL18)),STDEV(AL8:AL18),"-")</f>
        <v>284.12731887893733</v>
      </c>
      <c r="AM21" s="739"/>
      <c r="AN21" s="739">
        <f>IF(ISNUMBER(STDEV(AN8:AN18)),STDEV(AN8:AN18),"-")</f>
        <v>0</v>
      </c>
      <c r="AO21" s="745">
        <f>IF(ISNUMBER(STDEV(AO8:AO18)),STDEV(AO8:AO18),"-")</f>
        <v>0</v>
      </c>
      <c r="AP21" s="782">
        <f>IF(ISNUMBER(STDEV(AP8:AP18)),STDEV(AP8:AP18),"-")</f>
        <v>4.514042372514953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7WUJlivBY0Pu7LdFuuoY+aUd0IWJG2dq0tVIgR+H5uGj94rKsRpseHpvCX/xRUpjdfYUoQNbo2LIAXK7ZTAmg==" saltValue="74jeDjyCC6WBNH+FvKeU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MOLINA DE SEGURA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v2cd7cwiEIVtD49JoOAb3xxMHV0Ne/XGFlC/MhUdCesJGVyX8cbCXqdeDZRGKnNkrp3L6WN1IPAluXKi1g5CBw==" saltValue="VK3qBrBBwG8eU4Go51p9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MOLINA DE SEGURA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11</v>
      </c>
      <c r="E10" s="407">
        <f>IF(ISNUMBER(D10/B10),D10/B10," - ")</f>
        <v>11</v>
      </c>
      <c r="F10" s="406">
        <f>IF(ISNUMBER(Datos!N10),Datos!N10," - ")</f>
        <v>4</v>
      </c>
      <c r="G10" s="407">
        <f>IF(ISNUMBER(F10/B10),F10/B10," - ")</f>
        <v>4</v>
      </c>
      <c r="H10" s="406">
        <f>IF(ISNUMBER(Datos!O10),Datos!O10," - ")</f>
        <v>12</v>
      </c>
      <c r="I10" s="407">
        <f t="shared" ref="I10:I12" si="2">IF(ISNUMBER(H10/B10),H10/B10," - ")</f>
        <v>12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492</v>
      </c>
      <c r="E12" s="407">
        <f t="shared" si="0"/>
        <v>70.285714285714292</v>
      </c>
      <c r="F12" s="406">
        <f>IF(ISNUMBER(Datos!N12),Datos!N12," - ")</f>
        <v>787</v>
      </c>
      <c r="G12" s="407">
        <f t="shared" si="1"/>
        <v>112.42857142857143</v>
      </c>
      <c r="H12" s="406">
        <f>IF(ISNUMBER(Datos!O12),Datos!O12," - ")</f>
        <v>1300</v>
      </c>
      <c r="I12" s="407">
        <f t="shared" si="2"/>
        <v>185.71428571428572</v>
      </c>
    </row>
    <row r="13" spans="1:9" ht="14.25" thickTop="1" thickBot="1">
      <c r="A13" s="851" t="str">
        <f>Datos!A13</f>
        <v>TOTAL</v>
      </c>
      <c r="B13" s="852">
        <f>Datos!AO13</f>
        <v>8</v>
      </c>
      <c r="C13" s="854">
        <f>Datos!AR13</f>
        <v>7</v>
      </c>
      <c r="D13" s="852">
        <f>SUBTOTAL(9,D9:D12)</f>
        <v>503</v>
      </c>
      <c r="E13" s="853">
        <f t="shared" si="0"/>
        <v>62.875</v>
      </c>
      <c r="F13" s="852">
        <f>SUBTOTAL(9,F9:F12)</f>
        <v>791</v>
      </c>
      <c r="G13" s="853">
        <f t="shared" si="1"/>
        <v>98.875</v>
      </c>
      <c r="H13" s="852">
        <f>SUBTOTAL(9,H9:H12)</f>
        <v>1312</v>
      </c>
      <c r="I13" s="853">
        <f>IF(ISNUMBER(H13/B13),H13/B13," - ")</f>
        <v>164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197</v>
      </c>
      <c r="E16" s="407">
        <f t="shared" si="3"/>
        <v>28.142857142857142</v>
      </c>
      <c r="F16" s="406">
        <f>IF(ISNUMBER(Datos!N16),Datos!N16," - ")</f>
        <v>837</v>
      </c>
      <c r="G16" s="407">
        <f t="shared" si="4"/>
        <v>119.57142857142857</v>
      </c>
      <c r="H16" s="406">
        <f>IF(ISNUMBER(Datos!O16),Datos!O16," - ")</f>
        <v>88</v>
      </c>
      <c r="I16" s="407">
        <f t="shared" si="5"/>
        <v>12.571428571428571</v>
      </c>
    </row>
    <row r="17" spans="1:9" ht="13.5" thickBot="1">
      <c r="A17" s="405" t="str">
        <f>Datos!A17</f>
        <v>Jdos. Violencia contra la mujer</v>
      </c>
      <c r="B17" s="430">
        <f>Datos!AO17</f>
        <v>1</v>
      </c>
      <c r="C17" s="431">
        <f>Datos!AQ17</f>
        <v>0</v>
      </c>
      <c r="D17" s="406">
        <f>IF(ISNUMBER(Datos!M17),Datos!M17," - ")</f>
        <v>40</v>
      </c>
      <c r="E17" s="407">
        <f>IF(ISNUMBER(D17/B17),D17/B17," - ")</f>
        <v>40</v>
      </c>
      <c r="F17" s="406">
        <f>IF(ISNUMBER(Datos!N17),Datos!N17," - ")</f>
        <v>120</v>
      </c>
      <c r="G17" s="407">
        <f>IF(ISNUMBER(F17/B17),F17/B17," - ")</f>
        <v>120</v>
      </c>
      <c r="H17" s="406">
        <f>IF(ISNUMBER(Datos!O17),Datos!O17," - ")</f>
        <v>2</v>
      </c>
      <c r="I17" s="407">
        <f t="shared" si="5"/>
        <v>2</v>
      </c>
    </row>
    <row r="18" spans="1:9" ht="14.25" thickTop="1" thickBot="1">
      <c r="A18" s="851" t="str">
        <f>Datos!A18</f>
        <v>TOTAL</v>
      </c>
      <c r="B18" s="852">
        <f>Datos!AO18</f>
        <v>8</v>
      </c>
      <c r="C18" s="854">
        <f>Datos!AR18</f>
        <v>7</v>
      </c>
      <c r="D18" s="852">
        <f>SUBTOTAL(9,D15:D17)</f>
        <v>237</v>
      </c>
      <c r="E18" s="853">
        <f t="shared" si="3"/>
        <v>29.625</v>
      </c>
      <c r="F18" s="852">
        <f>SUBTOTAL(9,F15:F17)</f>
        <v>957</v>
      </c>
      <c r="G18" s="853">
        <f t="shared" si="4"/>
        <v>119.625</v>
      </c>
      <c r="H18" s="852">
        <f>SUBTOTAL(9,H15:H17)</f>
        <v>90</v>
      </c>
      <c r="I18" s="853">
        <f>IF(ISNUMBER(H18/B18),H18/B18," - ")</f>
        <v>11.25</v>
      </c>
    </row>
    <row r="19" spans="1:9" ht="14.25" thickTop="1" thickBot="1">
      <c r="A19" s="796" t="str">
        <f>Datos!A19</f>
        <v>TOTAL JURISDICCIONES</v>
      </c>
      <c r="B19" s="797">
        <f>Datos!AP19</f>
        <v>7</v>
      </c>
      <c r="C19" s="797">
        <f>Datos!AR19</f>
        <v>7</v>
      </c>
      <c r="D19" s="797">
        <f>SUBTOTAL(9,D8:D18)</f>
        <v>740</v>
      </c>
      <c r="E19" s="798">
        <f>IF(ISNUMBER(D19/B19),D19/B19," - ")</f>
        <v>105.71428571428571</v>
      </c>
      <c r="F19" s="797">
        <f>SUBTOTAL(9,F8:F18)</f>
        <v>1748</v>
      </c>
      <c r="G19" s="798">
        <f>IF(ISNUMBER(F19/B19),F19/B19," - ")</f>
        <v>249.71428571428572</v>
      </c>
      <c r="H19" s="797">
        <f>SUBTOTAL(9,H8:H18)</f>
        <v>1402</v>
      </c>
      <c r="I19" s="798">
        <f>IF(ISNUMBER(H19/B19),H19/B19," - ")</f>
        <v>200.28571428571428</v>
      </c>
    </row>
    <row r="22" spans="1:9">
      <c r="A22" s="394" t="str">
        <f>Criterios!A4</f>
        <v>Fecha Informe: 07 mar. 2024</v>
      </c>
    </row>
    <row r="27" spans="1:9">
      <c r="A27" s="417"/>
    </row>
  </sheetData>
  <sheetProtection algorithmName="SHA-512" hashValue="kMWa9evnQwTRSFT80o3mMxKcBISL7bT4QUFgrzLVWMUb0xxDB+TthB2rkFAmBagxkFlmyvU6duUYjdqvbg4WmA==" saltValue="OOfI6mgydPsSGcy3IgnB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MOLINA DE SEGURA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0</v>
      </c>
      <c r="D10" s="411">
        <f>IF(ISNUMBER(Datos!R10),Datos!R10," - ")</f>
        <v>34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485</v>
      </c>
      <c r="C12" s="437">
        <f>IF(ISNUMBER(Datos!Q12),Datos!Q12," - ")</f>
        <v>330</v>
      </c>
      <c r="D12" s="411">
        <f>IF(ISNUMBER(Datos!R12),Datos!R12," - ")</f>
        <v>13458</v>
      </c>
    </row>
    <row r="13" spans="1:4" ht="14.25" thickTop="1" thickBot="1">
      <c r="A13" s="851" t="str">
        <f>Datos!A13</f>
        <v>TOTAL</v>
      </c>
      <c r="B13" s="852">
        <f>SUBTOTAL(9,B9:B12)</f>
        <v>490</v>
      </c>
      <c r="C13" s="856">
        <f>SUBTOTAL(9,C9:C12)</f>
        <v>330</v>
      </c>
      <c r="D13" s="854">
        <f>SUBTOTAL(9,D9:D12)</f>
        <v>13492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44</v>
      </c>
      <c r="C16" s="437">
        <f>IF(ISNUMBER(Datos!Q16),Datos!Q16," - ")</f>
        <v>115</v>
      </c>
      <c r="D16" s="411">
        <f>IF(ISNUMBER(Datos!R16),Datos!R16," - ")</f>
        <v>431</v>
      </c>
    </row>
    <row r="17" spans="1:4" ht="13.5" thickBot="1">
      <c r="A17" s="405" t="str">
        <f>Datos!A17</f>
        <v>Jdos. Violencia contra la mujer</v>
      </c>
      <c r="B17" s="436">
        <f>IF(ISNUMBER(Datos!P17),Datos!P17," - ")</f>
        <v>4</v>
      </c>
      <c r="C17" s="437">
        <f>IF(ISNUMBER(Datos!Q17),Datos!Q17," - ")</f>
        <v>2</v>
      </c>
      <c r="D17" s="411">
        <f>IF(ISNUMBER(Datos!R17),Datos!R17," - ")</f>
        <v>27</v>
      </c>
    </row>
    <row r="18" spans="1:4" ht="14.25" thickTop="1" thickBot="1">
      <c r="A18" s="851" t="str">
        <f>Datos!A18</f>
        <v>TOTAL</v>
      </c>
      <c r="B18" s="852">
        <f>SUBTOTAL(9,B15:B17)</f>
        <v>48</v>
      </c>
      <c r="C18" s="856">
        <f>SUBTOTAL(9,C15:C17)</f>
        <v>117</v>
      </c>
      <c r="D18" s="854">
        <f>SUBTOTAL(9,D15:D17)</f>
        <v>458</v>
      </c>
    </row>
    <row r="19" spans="1:4" ht="16.5" customHeight="1" thickTop="1" thickBot="1">
      <c r="A19" s="796" t="str">
        <f>Datos!A19</f>
        <v>TOTAL JURISDICCIONES</v>
      </c>
      <c r="B19" s="801">
        <f>SUBTOTAL(9,B8:B18)</f>
        <v>538</v>
      </c>
      <c r="C19" s="802">
        <f>SUBTOTAL(9,C8:C18)</f>
        <v>447</v>
      </c>
      <c r="D19" s="803">
        <f>SUBTOTAL(9,D8:D18)</f>
        <v>13950</v>
      </c>
    </row>
    <row r="20" spans="1:4" ht="7.5" customHeight="1"/>
    <row r="21" spans="1:4" ht="6" customHeight="1"/>
    <row r="22" spans="1:4">
      <c r="A22" s="394" t="str">
        <f>Criterios!A4</f>
        <v>Fecha Informe: 07 mar. 2024</v>
      </c>
    </row>
    <row r="27" spans="1:4">
      <c r="A27" s="417"/>
    </row>
  </sheetData>
  <sheetProtection algorithmName="SHA-512" hashValue="5VUrELSbtYa6fKrDjTQ+16/sjqnIBxFoX4N2ysfFTPT02A+6AwSWRWZV2p3M0OLbytmaUqe8OSGzpSWJIvWsfg==" saltValue="YRDldaNTH+Wcbl3nRraG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MOLINA DE SEGURA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0.22972972972972974</v>
      </c>
      <c r="C10" s="459">
        <f>IF(ISNUMBER((Datos!J10-Datos!T10)/Datos!T10),(Datos!J10-Datos!T10)/Datos!T10," - ")</f>
        <v>-0.47499999999999998</v>
      </c>
      <c r="D10" s="459">
        <f>IF(ISNUMBER((Datos!K10-Datos!U10)/Datos!U10),(Datos!K10-Datos!U10)/Datos!U10," - ")</f>
        <v>0.61111111111111116</v>
      </c>
      <c r="E10" s="459">
        <f>IF(ISNUMBER((Datos!L10-Datos!V10)/Datos!V10),(Datos!L10-Datos!V10)/Datos!V10," - ")</f>
        <v>0.12258064516129032</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2.0687830687830688</v>
      </c>
      <c r="I10" s="459">
        <f>IF(ISNUMBER(((NºAsuntos!I10/NºAsuntos!G10)-Datos!BE10)/Datos!BE10),((NºAsuntos!I10/NºAsuntos!G10)-Datos!BE10)/Datos!BE10," - ")</f>
        <v>-0.30322580645161284</v>
      </c>
      <c r="J10" s="464">
        <f>IF(ISNUMBER((('Resol  Asuntos'!D10/NºAsuntos!G10)-Datos!BF10)/Datos!BF10),(('Resol  Asuntos'!D10/NºAsuntos!G10)-Datos!BF10)/Datos!BF10," - ")</f>
        <v>-0.3793103448275863</v>
      </c>
      <c r="K10" s="465">
        <f>IF(ISNUMBER((((NºAsuntos!C10+NºAsuntos!E10)/NºAsuntos!G10)-Datos!BG10)/Datos!BG10),(((NºAsuntos!C10+NºAsuntos!E10)/NºAsuntos!G10)-Datos!BG10)/Datos!BG10," - ")</f>
        <v>-0.32978723404255322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0.15894881848044928</v>
      </c>
      <c r="C12" s="459">
        <f>IF(ISNUMBER(
   IF(J_V="SI",(Datos!J12-Datos!T12)/Datos!T12,(Datos!J12+Datos!Z12-(Datos!T12+Datos!AH12))/(Datos!T12+Datos!AH12))
     ),IF(J_V="SI",(Datos!J12-Datos!T12)/Datos!T12,(Datos!J12+Datos!Z12-(Datos!T12+Datos!AH12))/(Datos!T12+Datos!AH12))," - ")</f>
        <v>-0.1763046544428773</v>
      </c>
      <c r="D12" s="459">
        <f>IF(ISNUMBER(
   IF(J_V="SI",(Datos!K12-Datos!U12)/Datos!U12,(Datos!K12+Datos!AA12-(Datos!U12+Datos!AI12))/(Datos!U12+Datos!AI12))
     ),IF(J_V="SI",(Datos!K12-Datos!U12)/Datos!U12,(Datos!K12+Datos!AA12-(Datos!U12+Datos!AI12))/(Datos!U12+Datos!AI12))," - ")</f>
        <v>0.18350930115635997</v>
      </c>
      <c r="E12" s="459">
        <f>IF(ISNUMBER(
   IF(J_V="SI",(Datos!L12-Datos!V12)/Datos!V12,(Datos!L12+Datos!AB12-(Datos!V12+Datos!AJ12))/(Datos!V12+Datos!AJ12))
     ),IF(J_V="SI",(Datos!L12-Datos!V12)/Datos!V12,(Datos!L12+Datos!AB12-(Datos!V12+Datos!AJ12))/(Datos!V12+Datos!AJ12))," - ")</f>
        <v>6.6136787361397317E-2</v>
      </c>
      <c r="F12" s="459">
        <f>IF(ISNUMBER((Datos!M12-Datos!W12)/Datos!W12),(Datos!M12-Datos!W12)/Datos!W12," - ")</f>
        <v>0.51384615384615384</v>
      </c>
      <c r="G12" s="460">
        <f>IF(ISNUMBER((Datos!N12-Datos!X12)/Datos!X12),(Datos!N12-Datos!X12)/Datos!X12," - ")</f>
        <v>0.19969512195121952</v>
      </c>
      <c r="H12" s="458">
        <f>IF(ISNUMBER(((NºAsuntos!G12/NºAsuntos!E12)-Datos!BD12)/Datos!BD12),((NºAsuntos!G12/NºAsuntos!E12)-Datos!BD12)/Datos!BD12," - ")</f>
        <v>0.43682892897236175</v>
      </c>
      <c r="I12" s="459">
        <f>IF(ISNUMBER(((NºAsuntos!I12/NºAsuntos!G12)-Datos!BE12)/Datos!BE12),((NºAsuntos!I12/NºAsuntos!G12)-Datos!BE12)/Datos!BE12," - ")</f>
        <v>-9.9173292242217798E-2</v>
      </c>
      <c r="J12" s="464">
        <f>IF(ISNUMBER((('Resol  Asuntos'!D12/NºAsuntos!G12)-Datos!BF12)/Datos!BF12),(('Resol  Asuntos'!D12/NºAsuntos!G12)-Datos!BF12)/Datos!BF12," - ")</f>
        <v>-0.36629141886151229</v>
      </c>
      <c r="K12" s="465">
        <f>IF(ISNUMBER((((NºAsuntos!C12+NºAsuntos!E12)/NºAsuntos!G12)-Datos!BG12)/Datos!BG12),(((NºAsuntos!C12+NºAsuntos!E12)/NºAsuntos!G12)-Datos!BG12)/Datos!BG12," - ")</f>
        <v>-8.6209403030919216E-2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0.16004173187271778</v>
      </c>
      <c r="C13" s="858">
        <f>IF(ISNUMBER(
   IF(J_V="SI",(Datos!J13-Datos!T13)/Datos!T13,(Datos!J13+Datos!Z13-(Datos!T13+Datos!AH13))/(Datos!T13+Datos!AH13))
     ),IF(J_V="SI",(Datos!J13-Datos!T13)/Datos!T13,(Datos!J13+Datos!Z13-(Datos!T13+Datos!AH13))/(Datos!T13+Datos!AH13))," - ")</f>
        <v>-0.18045897079276774</v>
      </c>
      <c r="D13" s="858">
        <f>IF(ISNUMBER(
   IF(J_V="SI",(Datos!K13-Datos!U13)/Datos!U13,(Datos!K13+Datos!AA13-(Datos!U13+Datos!AI13))/(Datos!U13+Datos!AI13))
     ),IF(J_V="SI",(Datos!K13-Datos!U13)/Datos!U13,(Datos!K13+Datos!AA13-(Datos!U13+Datos!AI13))/(Datos!U13+Datos!AI13))," - ")</f>
        <v>0.18734429496761335</v>
      </c>
      <c r="E13" s="858">
        <f>IF(ISNUMBER(
   IF(J_V="SI",(Datos!L13-Datos!V13)/Datos!V13,(Datos!L13+Datos!AB13-(Datos!V13+Datos!AJ13))/(Datos!V13+Datos!AJ13))
     ),IF(J_V="SI",(Datos!L13-Datos!V13)/Datos!V13,(Datos!L13+Datos!AB13-(Datos!V13+Datos!AJ13))/(Datos!V13+Datos!AJ13))," - ")</f>
        <v>6.6982408660351822E-2</v>
      </c>
      <c r="F13" s="859">
        <f>IF(ISNUMBER((Datos!M13-Datos!W13)/Datos!W13),(Datos!M13-Datos!W13)/Datos!W13," - ")</f>
        <v>0.49702380952380953</v>
      </c>
      <c r="G13" s="860">
        <f>IF(ISNUMBER((Datos!N13-Datos!X13)/Datos!X13),(Datos!N13-Datos!X13)/Datos!X13," - ")</f>
        <v>0.20579268292682926</v>
      </c>
      <c r="H13" s="860">
        <f>IF(ISNUMBER(((NºAsuntos!G13/NºAsuntos!E13)-Datos!BD13)/Datos!BD13),((NºAsuntos!G13/NºAsuntos!E13)-Datos!BD13)/Datos!BD13," - ")</f>
        <v>0.44879176594266285</v>
      </c>
      <c r="I13" s="860">
        <f>IF(ISNUMBER(((NºAsuntos!I13/NºAsuntos!G13)-Datos!BE13)/Datos!BE13),((NºAsuntos!I13/NºAsuntos!G13)-Datos!BE13)/Datos!BE13," - ")</f>
        <v>-0.10137066966792863</v>
      </c>
      <c r="J13" s="860">
        <f>IF(ISNUMBER((('Resol  Asuntos'!D13/NºAsuntos!G13)-Datos!BF13)/Datos!BF13),(('Resol  Asuntos'!D13/NºAsuntos!G13)-Datos!BF13)/Datos!BF13," - ")</f>
        <v>-0.36486582558489955</v>
      </c>
      <c r="K13" s="860">
        <f>IF(ISNUMBER((((NºAsuntos!C13+NºAsuntos!E13)/NºAsuntos!G13)-Datos!BG13)/Datos!BG13),(((NºAsuntos!C13+NºAsuntos!E13)/NºAsuntos!G13)-Datos!BG13)/Datos!BG13," - ")</f>
        <v>-8.9182353011896504E-2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-4.2949354518371403E-2</v>
      </c>
      <c r="C16" s="459">
        <f>IF(ISNUMBER(
   IF(D_I="SI",(Datos!J16-Datos!T16)/Datos!T16,(Datos!J16+Datos!AD16-(Datos!T16+Datos!AL16))/(Datos!T16+Datos!AL16))
     ),IF(D_I="SI",(Datos!J16-Datos!T16)/Datos!T16,(Datos!J16+Datos!AD16-(Datos!T16+Datos!AL16))/(Datos!T16+Datos!AL16))," - ")</f>
        <v>-9.8144823459006589E-2</v>
      </c>
      <c r="D16" s="459">
        <f>IF(ISNUMBER(
   IF(D_I="SI",(Datos!K16-Datos!U16)/Datos!U16,(Datos!K16+Datos!AE16-(Datos!U16+Datos!AM16))/(Datos!U16+Datos!AM16))
     ),IF(D_I="SI",(Datos!K16-Datos!U16)/Datos!U16,(Datos!K16+Datos!AE16-(Datos!U16+Datos!AM16))/(Datos!U16+Datos!AM16))," - ")</f>
        <v>1.6425755584756899E-2</v>
      </c>
      <c r="E16" s="459">
        <f>IF(ISNUMBER(
   IF(D_I="SI",(Datos!L16-Datos!V16)/Datos!V16,(Datos!L16+Datos!AF16-(Datos!V16+Datos!AN16))/(Datos!V16+Datos!AN16))
     ),IF(D_I="SI",(Datos!L16-Datos!V16)/Datos!V16,(Datos!L16+Datos!AF16-(Datos!V16+Datos!AN16))/(Datos!V16+Datos!AN16))," - ")</f>
        <v>-2.1958606764260473E-2</v>
      </c>
      <c r="F16" s="459">
        <f>IF(ISNUMBER((Datos!M16-Datos!W16)/Datos!W16),(Datos!M16-Datos!W16)/Datos!W16," - ")</f>
        <v>6.4864864864864868E-2</v>
      </c>
      <c r="G16" s="460">
        <f>IF(ISNUMBER((Datos!N16-Datos!X16)/Datos!X16),(Datos!N16-Datos!X16)/Datos!X16," - ")</f>
        <v>6.4885496183206104E-2</v>
      </c>
      <c r="H16" s="458">
        <f>IF(ISNUMBER(((NºAsuntos!G16/NºAsuntos!E16)-Datos!BD16)/Datos!BD16),((NºAsuntos!G16/NºAsuntos!E16)-Datos!BD16)/Datos!BD16," - ")</f>
        <v>0.12703877742676101</v>
      </c>
      <c r="I16" s="459">
        <f>IF(ISNUMBER(((NºAsuntos!I16/NºAsuntos!G16)-Datos!BE16)/Datos!BE16),((NºAsuntos!I16/NºAsuntos!G16)-Datos!BE16)/Datos!BE16," - ")</f>
        <v>-3.7764059143635773E-2</v>
      </c>
      <c r="J16" s="464">
        <f>IF(ISNUMBER((('Resol  Asuntos'!D16/NºAsuntos!G16)-Datos!BF16)/Datos!BF16),(('Resol  Asuntos'!D16/NºAsuntos!G16)-Datos!BF16)/Datos!BF16," - ")</f>
        <v>4.7656318244553415E-2</v>
      </c>
      <c r="K16" s="465">
        <f>IF(ISNUMBER((((NºAsuntos!C16+NºAsuntos!E16)/NºAsuntos!G16)-Datos!BG16)/Datos!BG16),(((NºAsuntos!C16+NºAsuntos!E16)/NºAsuntos!G16)-Datos!BG16)/Datos!BG16," - ")</f>
        <v>-7.4337880980945292E-2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1.3518518518518519</v>
      </c>
      <c r="C17" s="459">
        <f>IF(ISNUMBER(
   IF(D_I="SI",(Datos!J17-Datos!T17)/Datos!T17,(Datos!J17+Datos!AD17-(Datos!T17+Datos!AL17))/(Datos!T17+Datos!AL17))
     ),IF(D_I="SI",(Datos!J17-Datos!T17)/Datos!T17,(Datos!J17+Datos!AD17-(Datos!T17+Datos!AL17))/(Datos!T17+Datos!AL17))," - ")</f>
        <v>-0.13478260869565217</v>
      </c>
      <c r="D17" s="459">
        <f>IF(ISNUMBER(
   IF(D_I="SI",(Datos!K17-Datos!U17)/Datos!U17,(Datos!K17+Datos!AE17-(Datos!U17+Datos!AM17))/(Datos!U17+Datos!AM17))
     ),IF(D_I="SI",(Datos!K17-Datos!U17)/Datos!U17,(Datos!K17+Datos!AE17-(Datos!U17+Datos!AM17))/(Datos!U17+Datos!AM17))," - ")</f>
        <v>0.20645161290322581</v>
      </c>
      <c r="E17" s="459">
        <f>IF(ISNUMBER(
   IF(D_I="SI",(Datos!L17-Datos!V17)/Datos!V17,(Datos!L17+Datos!AF17-(Datos!V17+Datos!AN17))/(Datos!V17+Datos!AN17))
     ),IF(D_I="SI",(Datos!L17-Datos!V17)/Datos!V17,(Datos!L17+Datos!AF17-(Datos!V17+Datos!AN17))/(Datos!V17+Datos!AN17))," - ")</f>
        <v>0.80952380952380953</v>
      </c>
      <c r="F17" s="459">
        <f>IF(ISNUMBER((Datos!M17-Datos!W17)/Datos!W17),(Datos!M17-Datos!W17)/Datos!W17," - ")</f>
        <v>-4.7619047619047616E-2</v>
      </c>
      <c r="G17" s="460">
        <f>IF(ISNUMBER((Datos!N17-Datos!X17)/Datos!X17),(Datos!N17-Datos!X17)/Datos!X17," - ")</f>
        <v>2.564102564102564E-2</v>
      </c>
      <c r="H17" s="458">
        <f>IF(ISNUMBER(((NºAsuntos!G17/NºAsuntos!E17)-Datos!BD17)/Datos!BD17),((NºAsuntos!G17/NºAsuntos!E17)-Datos!BD17)/Datos!BD17," - ")</f>
        <v>0.39439131139568806</v>
      </c>
      <c r="I17" s="459">
        <f>IF(ISNUMBER(((NºAsuntos!I17/NºAsuntos!G17)-Datos!BE17)/Datos!BE17),((NºAsuntos!I17/NºAsuntos!G17)-Datos!BE17)/Datos!BE17," - ")</f>
        <v>0.49987267634326454</v>
      </c>
      <c r="J17" s="464">
        <f>IF(ISNUMBER((('Resol  Asuntos'!D17/NºAsuntos!G17)-Datos!BF17)/Datos!BF17),(('Resol  Asuntos'!D17/NºAsuntos!G17)-Datos!BF17)/Datos!BF17," - ")</f>
        <v>-0.21059332824038715</v>
      </c>
      <c r="K17" s="465">
        <f>IF(ISNUMBER((((NºAsuntos!C17+NºAsuntos!E17)/NºAsuntos!G17)-Datos!BG17)/Datos!BG17),(((NºAsuntos!C17+NºAsuntos!E17)/NºAsuntos!G17)-Datos!BG17)/Datos!BG17," - ")</f>
        <v>0.1108913710723665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-6.5280464216634429E-3</v>
      </c>
      <c r="C18" s="858">
        <f>IF(ISNUMBER(
   IF(Criterios!B14="SI",(Datos!J18-Datos!T18)/Datos!T18,(Datos!J18+Datos!AD18-(Datos!T18+Datos!AL18))/(Datos!T18+Datos!AL18))
     ),IF(Criterios!B14="SI",(Datos!J18-Datos!T18)/Datos!T18,(Datos!J18+Datos!AD18-(Datos!T18+Datos!AL18))/(Datos!T18+Datos!AL18))," - ")</f>
        <v>-0.10257759074171488</v>
      </c>
      <c r="D18" s="858">
        <f>IF(ISNUMBER(
   IF(Criterios!B14="SI",(Datos!K18-Datos!U18)/Datos!U18,(Datos!K18+Datos!AE18-(Datos!U18+Datos!AM18))/(Datos!U18+Datos!AM18))
     ),IF(Criterios!B14="SI",(Datos!K18-Datos!U18)/Datos!U18,(Datos!K18+Datos!AE18-(Datos!U18+Datos!AM18))/(Datos!U18+Datos!AM18))," - ")</f>
        <v>3.3989266547406083E-2</v>
      </c>
      <c r="E18" s="858">
        <f>IF(ISNUMBER(
   IF(Criterios!B14="SI",(Datos!L18-Datos!V18)/Datos!V18,(Datos!L18+Datos!AF18-(Datos!V18+Datos!AN18))/(Datos!V18+Datos!AN18))
     ),IF(Criterios!B14="SI",(Datos!L18-Datos!V18)/Datos!V18,(Datos!L18+Datos!AF18-(Datos!V18+Datos!AN18))/(Datos!V18+Datos!AN18))," - ")</f>
        <v>7.7877829155512286E-3</v>
      </c>
      <c r="F18" s="859">
        <f>IF(ISNUMBER((Datos!M18-Datos!W18)/Datos!W18),(Datos!M18-Datos!W18)/Datos!W18," - ")</f>
        <v>4.405286343612335E-2</v>
      </c>
      <c r="G18" s="860">
        <f>IF(ISNUMBER((Datos!N18-Datos!X18)/Datos!X18),(Datos!N18-Datos!X18)/Datos!X18," - ")</f>
        <v>5.9800664451827246E-2</v>
      </c>
      <c r="H18" s="860">
        <f>IF(ISNUMBER(((NºAsuntos!G18/NºAsuntos!E18)-Datos!BD18)/Datos!BD18),((NºAsuntos!G18/NºAsuntos!E18)-Datos!BD18)/Datos!BD18," - ")</f>
        <v>0.15217678529110132</v>
      </c>
      <c r="I18" s="860">
        <f>IF(ISNUMBER(((NºAsuntos!I18/NºAsuntos!G18)-Datos!BE18)/Datos!BE18),((NºAsuntos!I18/NºAsuntos!G18)-Datos!BE18)/Datos!BE18," - ")</f>
        <v>-2.5340189187209001E-2</v>
      </c>
      <c r="J18" s="860">
        <f>IF(ISNUMBER((('Resol  Asuntos'!D18/NºAsuntos!G18)-Datos!BF18)/Datos!BF18),(('Resol  Asuntos'!D18/NºAsuntos!G18)-Datos!BF18)/Datos!BF18," - ")</f>
        <v>9.7327866103684626E-3</v>
      </c>
      <c r="K18" s="860">
        <f>IF(ISNUMBER((((NºAsuntos!C18+NºAsuntos!E18)/NºAsuntos!G18)-Datos!BG18)/Datos!BG18),(((NºAsuntos!C18+NºAsuntos!E18)/NºAsuntos!G18)-Datos!BG18)/Datos!BG18," - ")</f>
        <v>-6.8436395400222255E-2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0.10983164492383937</v>
      </c>
      <c r="C19" s="805">
        <f>IF(ISNUMBER(
   IF(J_V="SI",(Datos!J19-Datos!T19)/Datos!T19,(Datos!J19+Datos!Z19-(Datos!T19+Datos!AH19))/(Datos!T19+Datos!AH19))
     ),IF(J_V="SI",(Datos!J19-Datos!T19)/Datos!T19,(Datos!J19+Datos!Z19-(Datos!T19+Datos!AH19))/(Datos!T19+Datos!AH19))," - ")</f>
        <v>-0.1494661921708185</v>
      </c>
      <c r="D19" s="805">
        <f>IF(ISNUMBER(
   IF(J_V="SI",(Datos!K19-Datos!U19)/Datos!U19,(Datos!K19+Datos!AA19-(Datos!U19+Datos!AI19))/(Datos!U19+Datos!AI19))
     ),IF(J_V="SI",(Datos!K19-Datos!U19)/Datos!U19,(Datos!K19+Datos!AA19-(Datos!U19+Datos!AI19))/(Datos!U19+Datos!AI19))," - ")</f>
        <v>0.11753528773072747</v>
      </c>
      <c r="E19" s="805">
        <f>IF(ISNUMBER(
   IF(J_V="SI",(Datos!L19-Datos!V19)/Datos!V19,(Datos!L19+Datos!AB19-(Datos!V19+Datos!AJ19))/(Datos!V19+Datos!AJ19))
     ),IF(J_V="SI",(Datos!L19-Datos!V19)/Datos!V19,(Datos!L19+Datos!AB19-(Datos!V19+Datos!AJ19))/(Datos!V19+Datos!AJ19))," - ")</f>
        <v>5.0155655482531994E-2</v>
      </c>
      <c r="F19" s="806">
        <f>IF(ISNUMBER((Datos!M19-Datos!W19)/Datos!W19),(Datos!M19-Datos!W19)/Datos!W19," - ")</f>
        <v>0.31438721136767317</v>
      </c>
      <c r="G19" s="807">
        <f>IF(ISNUMBER((Datos!N19-Datos!X19)/Datos!X19),(Datos!N19-Datos!X19)/Datos!X19," - ")</f>
        <v>0.12123155869146889</v>
      </c>
      <c r="H19" s="808">
        <f>IF(ISNUMBER((Tasas!B19-Datos!BD19)/Datos!BD19),(Tasas!B19-Datos!BD19)/Datos!BD19," - ")</f>
        <v>0.3139222420599766</v>
      </c>
      <c r="I19" s="809">
        <f>IF(ISNUMBER((Tasas!C19-Datos!BE19)/Datos!BE19),(Tasas!C19-Datos!BE19)/Datos!BE19," - ")</f>
        <v>-6.0293069031419073E-2</v>
      </c>
      <c r="J19" s="810">
        <f>IF(ISNUMBER((Tasas!D19-Datos!BF19)/Datos!BF19),(Tasas!D19-Datos!BF19)/Datos!BF19," - ")</f>
        <v>-0.25931601332174825</v>
      </c>
      <c r="K19" s="810">
        <f>IF(ISNUMBER((Tasas!E19-Datos!BG19)/Datos!BG19),(Tasas!E19-Datos!BG19)/Datos!BG19," - ")</f>
        <v>-6.6812913332699495E-2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Ts8EO/pWeXaEyT5916BGUNjxKQaJrGJGaP9v0Pk0X6uU7iuaXUkcRgXNovAjr3bLvWaFHi+2SwPs3ZQ5RfTGA==" saltValue="s/cuTPEbqozl9M5FgkgV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MOLINA DE SEGURA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1.3809523809523809</v>
      </c>
      <c r="C10" s="446">
        <f>IF(ISNUMBER(NºAsuntos!I10/NºAsuntos!G10),NºAsuntos!I10/NºAsuntos!G10," - ")</f>
        <v>6</v>
      </c>
      <c r="D10" s="447">
        <f>IF(ISNUMBER('Resol  Asuntos'!D10/NºAsuntos!G10),'Resol  Asuntos'!D10/NºAsuntos!G10," - ")</f>
        <v>0.37931034482758619</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1.0077054794520548</v>
      </c>
      <c r="C12" s="446">
        <f>IF(ISNUMBER(NºAsuntos!I12/NºAsuntos!G12),NºAsuntos!I12/NºAsuntos!G12," - ")</f>
        <v>4.6155480033984704</v>
      </c>
      <c r="D12" s="447">
        <f>IF(ISNUMBER('Resol  Asuntos'!D12/NºAsuntos!G12),'Resol  Asuntos'!D12/NºAsuntos!G12," - ")</f>
        <v>0.20900594732370434</v>
      </c>
      <c r="E12" s="448">
        <f>IF(ISNUMBER((NºAsuntos!C12+NºAsuntos!E12)/NºAsuntos!G12),(NºAsuntos!C12+NºAsuntos!E12)/NºAsuntos!G12," - ")</f>
        <v>5.6384876805437552</v>
      </c>
      <c r="G12" s="466"/>
    </row>
    <row r="13" spans="1:7" ht="14.25" thickTop="1" thickBot="1">
      <c r="A13" s="851" t="str">
        <f>Datos!A13</f>
        <v>TOTAL</v>
      </c>
      <c r="B13" s="861">
        <f>IF(ISNUMBER(NºAsuntos!G13/NºAsuntos!E13),NºAsuntos!G13/NºAsuntos!E13," - ")</f>
        <v>1.0110309715740349</v>
      </c>
      <c r="C13" s="862">
        <f>IF(ISNUMBER(NºAsuntos!I13/NºAsuntos!G13),NºAsuntos!I13/NºAsuntos!G13," - ")</f>
        <v>4.6323961393201847</v>
      </c>
      <c r="D13" s="863">
        <f>IF(ISNUMBER('Resol  Asuntos'!D13/NºAsuntos!G13),'Resol  Asuntos'!D13/NºAsuntos!G13," - ")</f>
        <v>0.21107847251363826</v>
      </c>
      <c r="E13" s="864">
        <f>IF(ISNUMBER((NºAsuntos!C13+NºAsuntos!E13)/NºAsuntos!G13),(NºAsuntos!C13+NºAsuntos!E13)/NºAsuntos!G13," - ")</f>
        <v>5.6550566512798994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1.026542800265428</v>
      </c>
      <c r="C16" s="446">
        <f>IF(ISNUMBER(NºAsuntos!I16/NºAsuntos!G16),NºAsuntos!I16/NºAsuntos!G16," - ")</f>
        <v>2.5048480930833872</v>
      </c>
      <c r="D16" s="447">
        <f>IF(ISNUMBER('Resol  Asuntos'!D16/NºAsuntos!G16),'Resol  Asuntos'!D16/NºAsuntos!G16," - ")</f>
        <v>0.12734324499030381</v>
      </c>
      <c r="E16" s="448">
        <f>IF(ISNUMBER((NºAsuntos!C16+NºAsuntos!E16)/NºAsuntos!G16),(NºAsuntos!C16+NºAsuntos!E16)/NºAsuntos!G16," - ")</f>
        <v>3.4660633484162897</v>
      </c>
      <c r="G16" s="466"/>
    </row>
    <row r="17" spans="1:7" ht="13.5" thickBot="1">
      <c r="A17" s="405" t="str">
        <f>Datos!A17</f>
        <v>Jdos. Violencia contra la mujer</v>
      </c>
      <c r="B17" s="445">
        <f>IF(ISNUMBER(NºAsuntos!G17/NºAsuntos!E17),NºAsuntos!G17/NºAsuntos!E17," - ")</f>
        <v>0.93969849246231152</v>
      </c>
      <c r="C17" s="446">
        <f>IF(ISNUMBER(NºAsuntos!I17/NºAsuntos!G17),NºAsuntos!I17/NºAsuntos!G17," - ")</f>
        <v>1.4224598930481283</v>
      </c>
      <c r="D17" s="447">
        <f>IF(ISNUMBER('Resol  Asuntos'!D17/NºAsuntos!G17),'Resol  Asuntos'!D17/NºAsuntos!G17," - ")</f>
        <v>0.21390374331550802</v>
      </c>
      <c r="E17" s="448">
        <f>IF(ISNUMBER((NºAsuntos!C17+NºAsuntos!E17)/NºAsuntos!G17),(NºAsuntos!C17+NºAsuntos!E17)/NºAsuntos!G17," - ")</f>
        <v>2.4224598930481283</v>
      </c>
      <c r="G17" s="466"/>
    </row>
    <row r="18" spans="1:7" ht="14.25" thickTop="1" thickBot="1">
      <c r="A18" s="851" t="str">
        <f>Datos!A18</f>
        <v>TOTAL</v>
      </c>
      <c r="B18" s="861">
        <f>IF(ISNUMBER(NºAsuntos!G18/NºAsuntos!E18),NºAsuntos!G18/NºAsuntos!E18," - ")</f>
        <v>1.0164126611957796</v>
      </c>
      <c r="C18" s="862">
        <f>IF(ISNUMBER(NºAsuntos!I18/NºAsuntos!G18),NºAsuntos!I18/NºAsuntos!G18," - ")</f>
        <v>2.3881199538638986</v>
      </c>
      <c r="D18" s="865">
        <f>IF(ISNUMBER('Resol  Asuntos'!D18/NºAsuntos!G18),'Resol  Asuntos'!D18/NºAsuntos!G18," - ")</f>
        <v>0.13667820069204153</v>
      </c>
      <c r="E18" s="864">
        <f>IF(ISNUMBER((NºAsuntos!C18+NºAsuntos!E18)/NºAsuntos!G18),(NºAsuntos!C18+NºAsuntos!E18)/NºAsuntos!G18," - ")</f>
        <v>3.3535178777393311</v>
      </c>
      <c r="G18" s="466"/>
    </row>
    <row r="19" spans="1:7" ht="15.75" customHeight="1" thickTop="1" thickBot="1">
      <c r="A19" s="796" t="str">
        <f>Datos!A19</f>
        <v>TOTAL JURISDICCIONES</v>
      </c>
      <c r="B19" s="811">
        <f>IF(ISNUMBER(NºAsuntos!G19/NºAsuntos!E19),NºAsuntos!G19/NºAsuntos!E19," - ")</f>
        <v>1.0132906719173025</v>
      </c>
      <c r="C19" s="812">
        <f>IF(ISNUMBER(NºAsuntos!I19/NºAsuntos!G19),NºAsuntos!I19/NºAsuntos!G19," - ")</f>
        <v>3.6871508379888267</v>
      </c>
      <c r="D19" s="813">
        <f>IF(ISNUMBER('Resol  Asuntos'!D19/NºAsuntos!G19),'Resol  Asuntos'!D19/NºAsuntos!G19," - ")</f>
        <v>0.1797425309691523</v>
      </c>
      <c r="E19" s="814">
        <f>IF(ISNUMBER((NºAsuntos!C19+NºAsuntos!E19)/NºAsuntos!G19),(NºAsuntos!C19+NºAsuntos!E19)/NºAsuntos!G19," - ")</f>
        <v>4.6856934661161036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dGllzDtp/c6KXGcS8s2SxhFJzlXZBN/KkCXhfkJ9F7jYkymvT4mgrQqsJAU/YqiKRIiuhtKNJU5aYT72uuuMg==" saltValue="AVX3uL1621cylz60jWeo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MOLINA DE SEGURA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182</v>
      </c>
      <c r="G10" s="336">
        <f>IF(ISNUMBER(Datos!I10),Datos!I10," - ")</f>
        <v>182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29</v>
      </c>
      <c r="X10" s="229">
        <f>IF(ISNUMBER(Datos!Q10),Datos!Q10," - ")</f>
        <v>0</v>
      </c>
      <c r="Y10" s="337">
        <f t="shared" ref="Y10:Y12" si="0">SUM(W10:X10)</f>
        <v>29</v>
      </c>
      <c r="Z10" s="338" t="str">
        <f>IF(ISNUMBER(Datos!CC10),Datos!CC10," - ")</f>
        <v xml:space="preserve"> - </v>
      </c>
      <c r="AA10" s="335">
        <f>IF(ISNUMBER(Datos!L10),Datos!L10,"-")</f>
        <v>174</v>
      </c>
      <c r="AB10" s="337">
        <f>IF(ISNUMBER(Datos!R10),Datos!R10," - ")</f>
        <v>34</v>
      </c>
      <c r="AC10" s="337">
        <f t="shared" ref="AC10:AC12" si="1">IF(ISNUMBER(AA10+AB10),AA10+AB10," - ")</f>
        <v>208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1.3809523809523809</v>
      </c>
      <c r="AM10" s="263">
        <f>IF(ISNUMBER(((NºAsuntos!I10/NºAsuntos!G10)*11)/factor_trimestre),((NºAsuntos!I10/NºAsuntos!G10)*11)/factor_trimestre," - ")</f>
        <v>18</v>
      </c>
      <c r="AN10" s="247">
        <f>IF(ISNUMBER('Resol  Asuntos'!D10/NºAsuntos!G10),'Resol  Asuntos'!D10/NºAsuntos!G10," - ")</f>
        <v>0.37931034482758619</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485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330</v>
      </c>
      <c r="Y12" s="337">
        <f t="shared" si="0"/>
        <v>330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13458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492</v>
      </c>
      <c r="AJ12" s="232" t="str">
        <f>IF(ISNUMBER(Datos!BW12),Datos!BW12," - ")</f>
        <v xml:space="preserve"> - </v>
      </c>
      <c r="AK12" s="231" t="str">
        <f>IF(ISNUMBER(Datos!BX12),Datos!BX12," - ")</f>
        <v xml:space="preserve"> - </v>
      </c>
      <c r="AL12" s="246">
        <f>IF(ISNUMBER(NºAsuntos!G12/NºAsuntos!E12),NºAsuntos!G12/NºAsuntos!E12," - ")</f>
        <v>1.0077054794520548</v>
      </c>
      <c r="AM12" s="263">
        <f>IF(ISNUMBER(((NºAsuntos!I12/NºAsuntos!G12)*11)/factor_trimestre),((NºAsuntos!I12/NºAsuntos!G12)*11)/factor_trimestre," - ")</f>
        <v>13.846644010195412</v>
      </c>
      <c r="AN12" s="247">
        <f>IF(ISNUMBER('Resol  Asuntos'!D12/NºAsuntos!G12),'Resol  Asuntos'!D12/NºAsuntos!G12," - ")</f>
        <v>0.20900594732370434</v>
      </c>
      <c r="AO12" s="248">
        <f>IF(ISNUMBER((NºAsuntos!C12+NºAsuntos!E12)/NºAsuntos!G12),(NºAsuntos!C12+NºAsuntos!E12)/NºAsuntos!G12," - ")</f>
        <v>5.6384876805437552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182</v>
      </c>
      <c r="G13" s="869">
        <f t="shared" si="3"/>
        <v>182</v>
      </c>
      <c r="H13" s="868">
        <f t="shared" si="3"/>
        <v>0</v>
      </c>
      <c r="I13" s="870">
        <f t="shared" si="3"/>
        <v>0</v>
      </c>
      <c r="J13" s="870">
        <f t="shared" si="3"/>
        <v>0</v>
      </c>
      <c r="K13" s="870">
        <f t="shared" si="3"/>
        <v>0</v>
      </c>
      <c r="L13" s="870">
        <f t="shared" si="3"/>
        <v>490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29</v>
      </c>
      <c r="X13" s="870">
        <f t="shared" si="4"/>
        <v>330</v>
      </c>
      <c r="Y13" s="871">
        <f t="shared" si="4"/>
        <v>359</v>
      </c>
      <c r="Z13" s="871">
        <f t="shared" si="4"/>
        <v>0</v>
      </c>
      <c r="AA13" s="871">
        <f t="shared" si="4"/>
        <v>174</v>
      </c>
      <c r="AB13" s="871">
        <f t="shared" si="4"/>
        <v>13492</v>
      </c>
      <c r="AC13" s="871">
        <f t="shared" si="4"/>
        <v>208</v>
      </c>
      <c r="AD13" s="871">
        <f t="shared" si="4"/>
        <v>0</v>
      </c>
      <c r="AE13" s="875">
        <f t="shared" si="4"/>
        <v>0</v>
      </c>
      <c r="AF13" s="868">
        <f t="shared" si="4"/>
        <v>0</v>
      </c>
      <c r="AG13" s="876">
        <f t="shared" si="4"/>
        <v>0</v>
      </c>
      <c r="AH13" s="873">
        <f t="shared" si="4"/>
        <v>0</v>
      </c>
      <c r="AI13" s="868">
        <f t="shared" si="4"/>
        <v>503</v>
      </c>
      <c r="AJ13" s="870">
        <f t="shared" si="4"/>
        <v>0</v>
      </c>
      <c r="AK13" s="873">
        <f>SUBTOTAL(9,AK9:AK12)</f>
        <v>0</v>
      </c>
      <c r="AL13" s="877">
        <f>IF(ISNUMBER(NºAsuntos!G13/NºAsuntos!E13),NºAsuntos!G13/NºAsuntos!E13," - ")</f>
        <v>1.0110309715740349</v>
      </c>
      <c r="AM13" s="877">
        <f>IF(ISNUMBER(((NºAsuntos!I13/NºAsuntos!G13)*11)/factor_trimestre),((NºAsuntos!I13/NºAsuntos!G13)*11)/factor_trimestre," - ")</f>
        <v>13.897188417960555</v>
      </c>
      <c r="AN13" s="878">
        <f>IF(ISNUMBER('Resol  Asuntos'!D13/NºAsuntos!G13),'Resol  Asuntos'!D13/NºAsuntos!G13," - ")</f>
        <v>0.21107847251363826</v>
      </c>
      <c r="AO13" s="879">
        <f>IF(ISNUMBER((NºAsuntos!C13+NºAsuntos!E13)/NºAsuntos!G13),(NºAsuntos!C13+NºAsuntos!E13)/NºAsuntos!G13," - ")</f>
        <v>5.6550566512798994</v>
      </c>
      <c r="AP13" s="880" t="str">
        <f t="shared" si="2"/>
        <v xml:space="preserve"> - </v>
      </c>
      <c r="AQ13" s="880">
        <f>IF(ISNUMBER((H13-W13+K13)/(F13)),(H13-W13+K13)/(F13)," - ")</f>
        <v>-0.15934065934065933</v>
      </c>
      <c r="AR13" s="881">
        <f>IF(ISNUMBER((Datos!P13-Datos!Q13)/(Datos!R13-Datos!P13+Datos!Q13)),(Datos!P13-Datos!Q13)/(Datos!R13-Datos!P13+Datos!Q13)," - ")</f>
        <v>1.2001200120012E-2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3915</v>
      </c>
      <c r="G16" s="336">
        <f>IF(ISNUMBER(IF(D_I="SI",Datos!I16,Datos!I16+Datos!AC16)),IF(D_I="SI",Datos!I16,Datos!I16+Datos!AC16)," - ")</f>
        <v>3855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1547</v>
      </c>
      <c r="X16" s="229">
        <f>IF(ISNUMBER(Datos!Q16),Datos!Q16," - ")</f>
        <v>115</v>
      </c>
      <c r="Y16" s="337">
        <f t="shared" ref="Y16:Y17" si="7">SUM(W16:X16)</f>
        <v>1662</v>
      </c>
      <c r="Z16" s="338" t="str">
        <f>IF(ISNUMBER(Datos!CC16),Datos!CC16," - ")</f>
        <v xml:space="preserve"> - </v>
      </c>
      <c r="AA16" s="335">
        <f>IF(ISNUMBER(IF(D_I="SI",Datos!L16,Datos!L16+Datos!AF16)),IF(D_I="SI",Datos!L16,Datos!L16+Datos!AF16)," - ")</f>
        <v>3875</v>
      </c>
      <c r="AB16" s="337">
        <f>IF(ISNUMBER(Datos!R16),Datos!R16," - ")</f>
        <v>431</v>
      </c>
      <c r="AC16" s="337">
        <f t="shared" si="6"/>
        <v>4306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197</v>
      </c>
      <c r="AJ16" s="234" t="str">
        <f>IF(ISNUMBER(Datos!BW16),Datos!BW16," - ")</f>
        <v xml:space="preserve"> - </v>
      </c>
      <c r="AK16" s="235" t="str">
        <f>IF(ISNUMBER(Datos!BX16),Datos!BX16," - ")</f>
        <v xml:space="preserve"> - </v>
      </c>
      <c r="AL16" s="246">
        <f>IF(ISNUMBER(NºAsuntos!G16/NºAsuntos!E16),NºAsuntos!G16/NºAsuntos!E16," - ")</f>
        <v>1.026542800265428</v>
      </c>
      <c r="AM16" s="263">
        <f>IF(ISNUMBER(((NºAsuntos!I16/NºAsuntos!G16)*11)/factor_trimestre),((NºAsuntos!I16/NºAsuntos!G16)*11)/factor_trimestre," - ")</f>
        <v>7.5145442792501616</v>
      </c>
      <c r="AN16" s="247">
        <f>IF(ISNUMBER('Resol  Asuntos'!D16/NºAsuntos!G16),'Resol  Asuntos'!D16/NºAsuntos!G16," - ")</f>
        <v>0.12734324499030381</v>
      </c>
      <c r="AO16" s="248">
        <f>IF(ISNUMBER((NºAsuntos!C16+NºAsuntos!E16)/NºAsuntos!G16),(NºAsuntos!C16+NºAsuntos!E16)/NºAsuntos!G16," - ")</f>
        <v>3.4660633484162897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187</v>
      </c>
      <c r="X17" s="229">
        <f>IF(ISNUMBER(Datos!Q17),Datos!Q17," - ")</f>
        <v>2</v>
      </c>
      <c r="Y17" s="337">
        <f t="shared" si="7"/>
        <v>189</v>
      </c>
      <c r="Z17" s="338" t="str">
        <f>IF(ISNUMBER(Datos!CC17),Datos!CC17," - ")</f>
        <v xml:space="preserve"> - </v>
      </c>
      <c r="AA17" s="335">
        <f>IF(ISNUMBER(Datos!L17),Datos!L17,"-")</f>
        <v>266</v>
      </c>
      <c r="AB17" s="337">
        <f>IF(ISNUMBER(Datos!R17),Datos!R17," - ")</f>
        <v>27</v>
      </c>
      <c r="AC17" s="337">
        <f t="shared" si="6"/>
        <v>293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40</v>
      </c>
      <c r="AJ17" s="234" t="str">
        <f>IF(ISNUMBER(Datos!BW17),Datos!BW17," - ")</f>
        <v xml:space="preserve"> - </v>
      </c>
      <c r="AK17" s="235" t="str">
        <f>IF(ISNUMBER(Datos!BX17),Datos!BX17," - ")</f>
        <v xml:space="preserve"> - </v>
      </c>
      <c r="AL17" s="246">
        <f>IF(ISNUMBER(NºAsuntos!G17/NºAsuntos!E17),NºAsuntos!G17/NºAsuntos!E17," - ")</f>
        <v>0.93969849246231152</v>
      </c>
      <c r="AM17" s="263">
        <f>IF(ISNUMBER(((NºAsuntos!I17/NºAsuntos!G17)*11)/factor_trimestre),((NºAsuntos!I17/NºAsuntos!G17)*11)/factor_trimestre," - ")</f>
        <v>4.2673796791443852</v>
      </c>
      <c r="AN17" s="247">
        <f>IF(ISNUMBER('Resol  Asuntos'!D17/NºAsuntos!G17),'Resol  Asuntos'!D17/NºAsuntos!G17," - ")</f>
        <v>0.21390374331550802</v>
      </c>
      <c r="AO17" s="248">
        <f>IF(ISNUMBER((NºAsuntos!C17+NºAsuntos!E17)/NºAsuntos!G17),(NºAsuntos!C17+NºAsuntos!E17)/NºAsuntos!G17," - ")</f>
        <v>2.4224598930481283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3915</v>
      </c>
      <c r="G18" s="869">
        <f>SUBTOTAL(9,G15:G17)</f>
        <v>4109</v>
      </c>
      <c r="H18" s="868">
        <f t="shared" ref="H18:O18" si="10">SUBTOTAL(9,H14:H17)</f>
        <v>0</v>
      </c>
      <c r="I18" s="870">
        <f t="shared" si="10"/>
        <v>0</v>
      </c>
      <c r="J18" s="870">
        <f t="shared" si="10"/>
        <v>0</v>
      </c>
      <c r="K18" s="870">
        <f t="shared" si="10"/>
        <v>0</v>
      </c>
      <c r="L18" s="870">
        <f t="shared" si="10"/>
        <v>48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1734</v>
      </c>
      <c r="X18" s="870">
        <f t="shared" si="11"/>
        <v>117</v>
      </c>
      <c r="Y18" s="871">
        <f t="shared" si="11"/>
        <v>1851</v>
      </c>
      <c r="Z18" s="871">
        <f t="shared" si="11"/>
        <v>0</v>
      </c>
      <c r="AA18" s="871">
        <f t="shared" si="11"/>
        <v>4141</v>
      </c>
      <c r="AB18" s="871">
        <f t="shared" si="11"/>
        <v>458</v>
      </c>
      <c r="AC18" s="871">
        <f t="shared" si="11"/>
        <v>4599</v>
      </c>
      <c r="AD18" s="871">
        <f t="shared" si="11"/>
        <v>0</v>
      </c>
      <c r="AE18" s="875">
        <f t="shared" si="11"/>
        <v>0</v>
      </c>
      <c r="AF18" s="868">
        <f t="shared" si="11"/>
        <v>0</v>
      </c>
      <c r="AG18" s="876">
        <f t="shared" si="11"/>
        <v>0</v>
      </c>
      <c r="AH18" s="873">
        <f t="shared" si="11"/>
        <v>0</v>
      </c>
      <c r="AI18" s="868">
        <f t="shared" si="11"/>
        <v>237</v>
      </c>
      <c r="AJ18" s="870">
        <f t="shared" si="11"/>
        <v>0</v>
      </c>
      <c r="AK18" s="873">
        <f t="shared" si="11"/>
        <v>0</v>
      </c>
      <c r="AL18" s="877">
        <f>IF(ISNUMBER(NºAsuntos!G18/NºAsuntos!E18),NºAsuntos!G18/NºAsuntos!E18," - ")</f>
        <v>1.0164126611957796</v>
      </c>
      <c r="AM18" s="877">
        <f>IF(ISNUMBER(((NºAsuntos!I18/NºAsuntos!G18)*11)/factor_trimestre),((NºAsuntos!I18/NºAsuntos!G18)*11)/factor_trimestre," - ")</f>
        <v>7.1643598615916959</v>
      </c>
      <c r="AN18" s="878">
        <f>IF(ISNUMBER('Resol  Asuntos'!D18/NºAsuntos!G18),'Resol  Asuntos'!D18/NºAsuntos!G18," - ")</f>
        <v>0.13667820069204153</v>
      </c>
      <c r="AO18" s="879">
        <f>IF(ISNUMBER((NºAsuntos!C18+NºAsuntos!E18)/NºAsuntos!G18),(NºAsuntos!C18+NºAsuntos!E18)/NºAsuntos!G18," - ")</f>
        <v>3.3535178777393311</v>
      </c>
      <c r="AP18" s="880" t="str">
        <f t="shared" si="2"/>
        <v xml:space="preserve"> - </v>
      </c>
      <c r="AQ18" s="880">
        <f>IF(ISNUMBER((H18-W18+K18)/(F18)),(H18-W18+K18)/(F18)," - ")</f>
        <v>-0.442911877394636</v>
      </c>
      <c r="AR18" s="881">
        <f>IF(ISNUMBER((Datos!P18-Datos!Q18)/(Datos!R18-Datos!P18+Datos!Q18)),(Datos!P18-Datos!Q18)/(Datos!R18-Datos!P18+Datos!Q18)," - ")</f>
        <v>-0.13092979127134724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4097</v>
      </c>
      <c r="G19" s="824">
        <f t="shared" si="13"/>
        <v>4291</v>
      </c>
      <c r="H19" s="823">
        <f t="shared" si="13"/>
        <v>0</v>
      </c>
      <c r="I19" s="825">
        <f t="shared" si="13"/>
        <v>0</v>
      </c>
      <c r="J19" s="825">
        <f t="shared" si="13"/>
        <v>0</v>
      </c>
      <c r="K19" s="884">
        <f t="shared" si="13"/>
        <v>0</v>
      </c>
      <c r="L19" s="825">
        <f t="shared" si="13"/>
        <v>538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1763</v>
      </c>
      <c r="X19" s="824">
        <f t="shared" si="14"/>
        <v>447</v>
      </c>
      <c r="Y19" s="831">
        <f t="shared" si="14"/>
        <v>2210</v>
      </c>
      <c r="Z19" s="831">
        <f t="shared" si="14"/>
        <v>0</v>
      </c>
      <c r="AA19" s="831">
        <f t="shared" si="14"/>
        <v>4315</v>
      </c>
      <c r="AB19" s="831">
        <f t="shared" si="14"/>
        <v>13950</v>
      </c>
      <c r="AC19" s="831">
        <f t="shared" si="14"/>
        <v>4807</v>
      </c>
      <c r="AD19" s="831">
        <f t="shared" si="14"/>
        <v>0</v>
      </c>
      <c r="AE19" s="833">
        <f t="shared" si="14"/>
        <v>0</v>
      </c>
      <c r="AF19" s="834">
        <f t="shared" si="14"/>
        <v>0</v>
      </c>
      <c r="AG19" s="835">
        <f t="shared" si="14"/>
        <v>0</v>
      </c>
      <c r="AH19" s="833">
        <f t="shared" si="14"/>
        <v>0</v>
      </c>
      <c r="AI19" s="823">
        <f t="shared" si="14"/>
        <v>740</v>
      </c>
      <c r="AJ19" s="823">
        <f t="shared" si="14"/>
        <v>0</v>
      </c>
      <c r="AK19" s="833">
        <f t="shared" si="14"/>
        <v>0</v>
      </c>
      <c r="AL19" s="887">
        <f>IF(ISNUMBER(NºAsuntos!G19/NºAsuntos!E19),NºAsuntos!G19/NºAsuntos!E19," - ")</f>
        <v>1.0132906719173025</v>
      </c>
      <c r="AM19" s="888">
        <f>IF(ISNUMBER(((NºAsuntos!I19/NºAsuntos!G19)*11)/factor_trimestre),((NºAsuntos!I19/NºAsuntos!G19)*11)/factor_trimestre," - ")</f>
        <v>11.061452513966481</v>
      </c>
      <c r="AN19" s="888">
        <f>IF(ISNUMBER('Resol  Asuntos'!D19/NºAsuntos!G19),'Resol  Asuntos'!D19/NºAsuntos!G19," - ")</f>
        <v>0.1797425309691523</v>
      </c>
      <c r="AO19" s="889">
        <f>IF(ISNUMBER((NºAsuntos!C19+NºAsuntos!E19)/NºAsuntos!G19),(NºAsuntos!C19+NºAsuntos!E19)/NºAsuntos!G19," - ")</f>
        <v>4.6856934661161036</v>
      </c>
      <c r="AP19" s="890" t="str">
        <f t="shared" si="2"/>
        <v xml:space="preserve"> - </v>
      </c>
      <c r="AQ19" s="891">
        <f>IF(OR(ISNUMBER(FIND("01",Criterios!A8,1)),ISNUMBER(FIND("02",Criterios!A8,1)),ISNUMBER(FIND("03",Criterios!A8,1)),ISNUMBER(FIND("04",Criterios!A8,1))),(I19-W19+K19)/(F19-K19),(H19-W19+K19)/(F19-K19))</f>
        <v>-0.43031486453502565</v>
      </c>
      <c r="AR19" s="892">
        <f>IF(ISNUMBER((Datos!P19-Datos!Q19)/(Datos!R19-Datos!P19+Datos!Q19)),(Datos!P19-Datos!Q19)/(Datos!R19-Datos!P19+Datos!Q19)," - ")</f>
        <v>6.5661303124323542E-3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1716.4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2155.2485548848731</v>
      </c>
      <c r="G21" s="256">
        <f>IF(ISNUMBER(STDEV(G8:G18)),STDEV(G8:G18),"-")</f>
        <v>2070.3577710144687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858.78996268004903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212.93441869896625</v>
      </c>
      <c r="AJ21" s="255">
        <f t="shared" si="18"/>
        <v>0</v>
      </c>
      <c r="AK21" s="257">
        <f t="shared" si="18"/>
        <v>0</v>
      </c>
      <c r="AL21" s="252">
        <f t="shared" si="18"/>
        <v>0.1584623655532334</v>
      </c>
      <c r="AM21" s="253">
        <f t="shared" si="18"/>
        <v>5.2421337293165413</v>
      </c>
      <c r="AN21" s="253">
        <f t="shared" si="18"/>
        <v>9.0378771760339885E-2</v>
      </c>
      <c r="AO21" s="254">
        <f t="shared" si="18"/>
        <v>1.7625050688911787</v>
      </c>
      <c r="AP21" s="294" t="str">
        <f t="shared" si="18"/>
        <v>-</v>
      </c>
      <c r="AQ21" s="295">
        <f t="shared" si="18"/>
        <v>0.20051513123529607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01HICq38gpWo6+v9k5Z+RjA93b+RZSLsRH2mCCOrYQAzT3rhhoGwuZlQiT/sunqqfI4VZcE77MNBIBaDodGQ0g==" saltValue="+bOb5i41Dke0ukiRL4Cb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MOLINA DE SEGURA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0.22972972972972974</v>
      </c>
      <c r="E10" s="351">
        <f>IF(ISNUMBER((Datos!J10-Datos!T10)/Datos!T10),(Datos!J10-Datos!T10)/Datos!T10," - ")</f>
        <v>-0.47499999999999998</v>
      </c>
      <c r="F10" s="351">
        <f>IF(ISNUMBER((Datos!K10-Datos!U10)/Datos!U10),(Datos!K10-Datos!U10)/Datos!U10," - ")</f>
        <v>0.61111111111111116</v>
      </c>
      <c r="G10" s="352">
        <f>IF(ISNUMBER((Datos!L10-Datos!V10)/Datos!V10),(Datos!L10-Datos!V10)/Datos!V10," - ")</f>
        <v>0.12258064516129032</v>
      </c>
      <c r="H10" s="233">
        <f>IF(ISNUMBER((Datos!M10-Datos!W10)/Datos!W10),(Datos!M10-Datos!W10)/Datos!W10," - ")</f>
        <v>0</v>
      </c>
      <c r="I10" s="353">
        <f>IF(ISNUMBER((Tasas!C10-Datos!BE10)/Datos!BE10),(Tasas!C10-Datos!BE10)/Datos!BE10," - ")</f>
        <v>-0.30322580645161284</v>
      </c>
      <c r="J10" s="352">
        <f>IF(ISNUMBER((Tasas!D10-Datos!BF10)/Datos!BF10),(Tasas!D10-Datos!BF10)/Datos!BF10," - ")</f>
        <v>-0.3793103448275863</v>
      </c>
      <c r="K10" s="354">
        <f>IF(ISNUMBER((Tasas!E10-Datos!BG10)/Datos!BG10),(Tasas!E10-Datos!BG10)/Datos!BG10," - ")</f>
        <v>-0.32978723404255322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0.51384615384615384</v>
      </c>
      <c r="I12" s="353">
        <f>IF(ISNUMBER((Tasas!C12-Datos!BE12)/Datos!BE12),(Tasas!C12-Datos!BE12)/Datos!BE12," - ")</f>
        <v>-9.9173292242217798E-2</v>
      </c>
      <c r="J12" s="352">
        <f>IF(ISNUMBER((Tasas!D12-Datos!BF12)/Datos!BF12),(Tasas!D12-Datos!BF12)/Datos!BF12," - ")</f>
        <v>-0.36629141886151229</v>
      </c>
      <c r="K12" s="354">
        <f>IF(ISNUMBER((Tasas!E12-Datos!BG12)/Datos!BG12),(Tasas!E12-Datos!BG12)/Datos!BG12," - ")</f>
        <v>-8.6209403030919216E-2</v>
      </c>
      <c r="M12" t="e">
        <f>IF(Monitorios="SI",Datos!CE12,0)</f>
        <v>#REF!</v>
      </c>
      <c r="N12" t="e">
        <f>IF(Monitorios="SI",Datos!CF12,0)</f>
        <v>#REF!</v>
      </c>
      <c r="O12" t="e">
        <f>IF(Monitorios="SI",Datos!CG12,0)</f>
        <v>#REF!</v>
      </c>
      <c r="P12" t="e">
        <f>IF(Monitorios="SI",Datos!CH12,0)</f>
        <v>#REF!</v>
      </c>
      <c r="Q12">
        <f>IF(J_V="SI",0,Datos!AG12)</f>
        <v>471</v>
      </c>
      <c r="R12">
        <f>IF(J_V="SI",0,Datos!AH12)</f>
        <v>145</v>
      </c>
      <c r="S12">
        <f>IF(J_V="SI",0,Datos!AI12)</f>
        <v>136</v>
      </c>
      <c r="T12">
        <f>IF(J_V="SI",0,Datos!AJ12)</f>
        <v>471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0.49702380952380953</v>
      </c>
      <c r="I13" s="360">
        <f>IF(ISNUMBER((Tasas!C13-Datos!BE13)/Datos!BE13),(Tasas!C13-Datos!BE13)/Datos!BE13," - ")</f>
        <v>-0.10137066966792863</v>
      </c>
      <c r="J13" s="358">
        <f>IF(ISNUMBER((Tasas!D13-Datos!BF13)/Datos!BF13),(Tasas!D13-Datos!BF13)/Datos!BF13," - ")</f>
        <v>-0.36486582558489955</v>
      </c>
      <c r="K13" s="361">
        <f>IF(ISNUMBER((Tasas!E13-Datos!BG13)/Datos!BG13),(Tasas!E13-Datos!BG13)/Datos!BG13," - ")</f>
        <v>-8.9182353011896504E-2</v>
      </c>
      <c r="M13" t="e">
        <f>IF(Monitorios="SI",Datos!CE13,0)</f>
        <v>#REF!</v>
      </c>
      <c r="N13" t="e">
        <f>IF(Monitorios="SI",Datos!CF13,0)</f>
        <v>#REF!</v>
      </c>
      <c r="O13" t="e">
        <f>IF(Monitorios="SI",Datos!CG13,0)</f>
        <v>#REF!</v>
      </c>
      <c r="P13" t="e">
        <f>IF(Monitorios="SI",Datos!CH13,0)</f>
        <v>#REF!</v>
      </c>
      <c r="Q13">
        <f>IF(J_V="SI",0,Datos!AG13)</f>
        <v>471</v>
      </c>
      <c r="R13">
        <f>IF(J_V="SI",0,Datos!AH13)</f>
        <v>145</v>
      </c>
      <c r="S13">
        <f>IF(J_V="SI",0,Datos!AI13)</f>
        <v>136</v>
      </c>
      <c r="T13">
        <f>IF(J_V="SI",0,Datos!AJ13)</f>
        <v>471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-4.2949354518371403E-2</v>
      </c>
      <c r="E16" s="351">
        <f>IF(ISNUMBER(
   IF(D_I="SI",(Datos!J16-Datos!T16)/Datos!T16,(Datos!J16+Datos!AD16-(Datos!T16+Datos!AL16))/(Datos!T16+Datos!AL16))
     ),IF(D_I="SI",(Datos!J16-Datos!T16)/Datos!T16,(Datos!J16+Datos!AD16-(Datos!T16+Datos!AL16))/(Datos!T16+Datos!AL16))," - ")</f>
        <v>-9.8144823459006589E-2</v>
      </c>
      <c r="F16" s="351">
        <f>IF(ISNUMBER(
   IF(D_I="SI",(Datos!K16-Datos!U16)/Datos!U16,(Datos!K16+Datos!AE16-(Datos!U16+Datos!AM16))/(Datos!U16+Datos!AM16))
     ),IF(D_I="SI",(Datos!K16-Datos!U16)/Datos!U16,(Datos!K16+Datos!AE16-(Datos!U16+Datos!AM16))/(Datos!U16+Datos!AM16))," - ")</f>
        <v>1.6425755584756899E-2</v>
      </c>
      <c r="G16" s="352">
        <f>IF(ISNUMBER(
   IF(D_I="SI",(Datos!L16-Datos!V16)/Datos!V16,(Datos!L16+Datos!AF16-(Datos!V16+Datos!AN16))/(Datos!V16+Datos!AN16))
     ),IF(D_I="SI",(Datos!L16-Datos!V16)/Datos!V16,(Datos!L16+Datos!AF16-(Datos!V16+Datos!AN16))/(Datos!V16+Datos!AN16))," - ")</f>
        <v>-2.1958606764260473E-2</v>
      </c>
      <c r="H16" s="233">
        <f>IF(ISNUMBER((Datos!M16-Datos!W16)/Datos!W16),(Datos!M16-Datos!W16)/Datos!W16," - ")</f>
        <v>6.4864864864864868E-2</v>
      </c>
      <c r="I16" s="353">
        <f>IF(ISNUMBER((Tasas!C16-Datos!BE16)/Datos!BE16),(Tasas!C16-Datos!BE16)/Datos!BE16," - ")</f>
        <v>-3.7764059143635773E-2</v>
      </c>
      <c r="J16" s="352">
        <f>IF(ISNUMBER((Tasas!D16-Datos!BF16)/Datos!BF16),(Tasas!D16-Datos!BF16)/Datos!BF16," - ")</f>
        <v>4.7656318244553415E-2</v>
      </c>
      <c r="K16" s="354">
        <f>IF(ISNUMBER((Tasas!E16-Datos!BG16)/Datos!BG16),(Tasas!E16-Datos!BG16)/Datos!BG16," - ")</f>
        <v>-7.4337880980945292E-2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1.3518518518518519</v>
      </c>
      <c r="E17" s="351">
        <f>IF(ISNUMBER(
   IF(D_I="SI",(Datos!J17-Datos!T17)/Datos!T17,(Datos!J17+Datos!AD17-(Datos!T17+Datos!AL17))/(Datos!T17+Datos!AL17))
     ),IF(D_I="SI",(Datos!J17-Datos!T17)/Datos!T17,(Datos!J17+Datos!AD17-(Datos!T17+Datos!AL17))/(Datos!T17+Datos!AL17))," - ")</f>
        <v>-0.13478260869565217</v>
      </c>
      <c r="F17" s="351">
        <f>IF(ISNUMBER(
   IF(D_I="SI",(Datos!K17-Datos!U17)/Datos!U17,(Datos!K17+Datos!AE17-(Datos!U17+Datos!AM17))/(Datos!U17+Datos!AM17))
     ),IF(D_I="SI",(Datos!K17-Datos!U17)/Datos!U17,(Datos!K17+Datos!AE17-(Datos!U17+Datos!AM17))/(Datos!U17+Datos!AM17))," - ")</f>
        <v>0.20645161290322581</v>
      </c>
      <c r="G17" s="352">
        <f>IF(ISNUMBER(
   IF(D_I="SI",(Datos!L17-Datos!V17)/Datos!V17,(Datos!L17+Datos!AF17-(Datos!V17+Datos!AN17))/(Datos!V17+Datos!AN17))
     ),IF(D_I="SI",(Datos!L17-Datos!V17)/Datos!V17,(Datos!L17+Datos!AF17-(Datos!V17+Datos!AN17))/(Datos!V17+Datos!AN17))," - ")</f>
        <v>0.80952380952380953</v>
      </c>
      <c r="H17" s="233">
        <f>IF(ISNUMBER((Datos!M17-Datos!W17)/Datos!W17),(Datos!M17-Datos!W17)/Datos!W17," - ")</f>
        <v>-4.7619047619047616E-2</v>
      </c>
      <c r="I17" s="353">
        <f>IF(ISNUMBER((Tasas!C17-Datos!BE17)/Datos!BE17),(Tasas!C17-Datos!BE17)/Datos!BE17," - ")</f>
        <v>0.49987267634326454</v>
      </c>
      <c r="J17" s="352">
        <f>IF(ISNUMBER((Tasas!D17-Datos!BF17)/Datos!BF17),(Tasas!D17-Datos!BF17)/Datos!BF17," - ")</f>
        <v>-0.21059332824038715</v>
      </c>
      <c r="K17" s="354">
        <f>IF(ISNUMBER((Tasas!E17-Datos!BG17)/Datos!BG17),(Tasas!E17-Datos!BG17)/Datos!BG17," - ")</f>
        <v>0.1108913710723665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-6.5280464216634429E-3</v>
      </c>
      <c r="E18" s="357">
        <f>IF(ISNUMBER(
   IF(D_I="SI",(Datos!J18-Datos!T18)/Datos!T18,(Datos!J18+Datos!AD18-(Datos!T18+Datos!AL18))/(Datos!T18+Datos!AL18))
     ),IF(D_I="SI",(Datos!J18-Datos!T18)/Datos!T18,(Datos!J18+Datos!AD18-(Datos!T18+Datos!AL18))/(Datos!T18+Datos!AL18))," - ")</f>
        <v>-0.10257759074171488</v>
      </c>
      <c r="F18" s="357">
        <f>IF(ISNUMBER(
   IF(D_I="SI",(Datos!K18-Datos!U18)/Datos!U18,(Datos!K18+Datos!AE18-(Datos!U18+Datos!AM18))/(Datos!U18+Datos!AM18))
     ),IF(D_I="SI",(Datos!K18-Datos!U18)/Datos!U18,(Datos!K18+Datos!AE18-(Datos!U18+Datos!AM18))/(Datos!U18+Datos!AM18))," - ")</f>
        <v>3.3989266547406083E-2</v>
      </c>
      <c r="G18" s="358">
        <f>IF(ISNUMBER(
   IF(D_I="SI",(Datos!L18-Datos!V18)/Datos!V18,(Datos!L18+Datos!AF18-(Datos!V18+Datos!AN18))/(Datos!V18+Datos!AN18))
     ),IF(D_I="SI",(Datos!L18-Datos!V18)/Datos!V18,(Datos!L18+Datos!AF18-(Datos!V18+Datos!AN18))/(Datos!V18+Datos!AN18))," - ")</f>
        <v>7.7877829155512286E-3</v>
      </c>
      <c r="H18" s="359">
        <f>IF(ISNUMBER((Datos!M18-Datos!W18)/Datos!W18),(Datos!M18-Datos!W18)/Datos!W18," - ")</f>
        <v>4.405286343612335E-2</v>
      </c>
      <c r="I18" s="360">
        <f>IF(ISNUMBER((Tasas!C18-Datos!BE18)/Datos!BE18),(Tasas!C18-Datos!BE18)/Datos!BE18," - ")</f>
        <v>-2.5340189187209001E-2</v>
      </c>
      <c r="J18" s="358">
        <f>IF(ISNUMBER((Tasas!D18-Datos!BF18)/Datos!BF18),(Tasas!D18-Datos!BF18)/Datos!BF18," - ")</f>
        <v>9.7327866103684626E-3</v>
      </c>
      <c r="K18" s="361">
        <f>IF(ISNUMBER((Tasas!E18-Datos!BG18)/Datos!BG18),(Tasas!E18-Datos!BG18)/Datos!BG18," - ")</f>
        <v>-6.8436395400222255E-2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0.10983164492383937</v>
      </c>
      <c r="E19" s="366">
        <f>IF(ISNUMBER(
   IF(J_V="SI",(Datos!J19-Datos!T19)/Datos!T19,(Datos!J19+Datos!Z19-(Datos!T19+Datos!AH19))/(Datos!T19+Datos!AH19))
     ),IF(J_V="SI",(Datos!J19-Datos!T19)/Datos!T19,(Datos!J19+Datos!Z19-(Datos!T19+Datos!AH19))/(Datos!T19+Datos!AH19))," - ")</f>
        <v>-0.1494661921708185</v>
      </c>
      <c r="F19" s="366">
        <f>IF(ISNUMBER(
   IF(J_V="SI",(Datos!K19-Datos!U19)/Datos!U19,(Datos!K19+Datos!AA19-(Datos!U19+Datos!AI19))/(Datos!U19+Datos!AI19))
     ),IF(J_V="SI",(Datos!K19-Datos!U19)/Datos!U19,(Datos!K19+Datos!AA19-(Datos!U19+Datos!AI19))/(Datos!U19+Datos!AI19))," - ")</f>
        <v>0.11753528773072747</v>
      </c>
      <c r="G19" s="367">
        <f>IF(ISNUMBER(
   IF(J_V="SI",(Datos!L19-Datos!V19)/Datos!V19,(Datos!L19+Datos!AB19-(Datos!V19+Datos!AJ19))/(Datos!V19+Datos!AJ19))
     ),IF(J_V="SI",(Datos!L19-Datos!V19)/Datos!V19,(Datos!L19+Datos!AB19-(Datos!V19+Datos!AJ19))/(Datos!V19+Datos!AJ19))," - ")</f>
        <v>5.0155655482531994E-2</v>
      </c>
      <c r="H19" s="368">
        <f>IF(ISNUMBER((Datos!M19-Datos!W19)/Datos!W19),(Datos!M19-Datos!W19)/Datos!W19," - ")</f>
        <v>0.31438721136767317</v>
      </c>
      <c r="I19" s="365">
        <f>IF(ISNUMBER((Tasas!C19-Datos!BE19)/Datos!BE19),(Tasas!C19-Datos!BE19)/Datos!BE19," - ")</f>
        <v>-6.0293069031419073E-2</v>
      </c>
      <c r="J19" s="366">
        <f>IF(ISNUMBER((Tasas!D19-Datos!BF19)/Datos!BF19),(Tasas!D19-Datos!BF19)/Datos!BF19," - ")</f>
        <v>-0.25931601332174825</v>
      </c>
      <c r="K19" s="367">
        <f>IF(ISNUMBER((Tasas!E19-Datos!BG19)/Datos!BG19),(Tasas!E19-Datos!BG19)/Datos!BG19," - ")</f>
        <v>-6.6812913332699495E-2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0.65709731279209516</v>
      </c>
      <c r="E21" s="281">
        <f t="shared" si="1"/>
        <v>0.18231504058078227</v>
      </c>
      <c r="F21" s="281">
        <f t="shared" si="1"/>
        <v>0.27638004771773445</v>
      </c>
      <c r="G21" s="282">
        <f t="shared" si="1"/>
        <v>0.39168316493170285</v>
      </c>
      <c r="H21" s="288">
        <f t="shared" si="1"/>
        <v>0.25608408098709806</v>
      </c>
      <c r="I21" s="280">
        <f t="shared" si="1"/>
        <v>0.26953663556760016</v>
      </c>
      <c r="J21" s="281">
        <f t="shared" si="1"/>
        <v>0.19582839694797566</v>
      </c>
      <c r="K21" s="282">
        <f t="shared" si="1"/>
        <v>0.14041306921044264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gP5HDPbp8rippaNLpkXTaki/X8nH5VOXCKjZIOFUj/GzVy3qQQztAndathQQkl8P9JhcsFaBT2GfX/JIjJENA==" saltValue="PQ1PUfBpFRIv5MlrRXdpG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